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omments3.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vmlDrawing1.vml" ContentType="application/vnd.openxmlformats-officedocument.vmlDrawing"/>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workbookPassword="D3E0" lockStructure="1" lockWindows="0"/>
  <bookViews>
    <workbookView showHorizontalScroll="true" showVerticalScroll="true" showSheetTabs="true" xWindow="0" yWindow="0" windowWidth="16384" windowHeight="8192" tabRatio="500" firstSheet="0" activeTab="0"/>
  </bookViews>
  <sheets>
    <sheet name="Cover" sheetId="1" state="visible" r:id="rId3"/>
    <sheet name="Start Here" sheetId="2" state="visible" r:id="rId4"/>
    <sheet name="Assessment" sheetId="3" state="visible" r:id="rId5"/>
    <sheet name="Action Plan" sheetId="4" state="visible" r:id="rId6"/>
    <sheet name="Dashboard" sheetId="5" state="visible" r:id="rId7"/>
  </sheets>
  <definedNames>
    <definedName function="false" hidden="true" localSheetId="3" name="_xlnm._FilterDatabase" vbProcedure="false">'Action Plan'!$A$4:$L$156</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Digital Tactics — scoring guidance</author>
  </authors>
  <commentList>
    <comment ref="C6" authorId="0">
      <text>
        <r>
          <rPr>
            <sz val="10"/>
            <rFont val="Arial"/>
            <family val="2"/>
          </rPr>
          <t xml:space="preserve">ASD test methodology (ML1-PA-01):
Review the method of automated asset discovery being used to identify assets such as workstations, servers and network devices.
Request evidence of previous vulnerability scans and review the date/time stamp and scope.</t>
        </r>
      </text>
    </comment>
    <comment ref="C7" authorId="0">
      <text>
        <r>
          <rPr>
            <sz val="10"/>
            <rFont val="Arial"/>
            <family val="2"/>
          </rPr>
          <t xml:space="preserve">ASD test methodology (ML1-PA-02):
Request evidence of when the vulnerability database was last updated and compare to vulnerability scan history to determine whether updates occurred within 24 hours of vulnerability scans taking place.</t>
        </r>
      </text>
    </comment>
    <comment ref="C8" authorId="0">
      <text>
        <r>
          <rPr>
            <sz val="10"/>
            <rFont val="Arial"/>
            <family val="2"/>
          </rPr>
          <t xml:space="preserve">ASD test methodology (ML1-PA-03):
Observe a vulnerability scan, or request evidence of previous vulnerability scans, and note the date/time stamp and scope. Check whether the list of scanned online services match the list of online services that are known to be used.</t>
        </r>
      </text>
    </comment>
    <comment ref="C9" authorId="0">
      <text>
        <r>
          <rPr>
            <sz val="10"/>
            <rFont val="Arial"/>
            <family val="2"/>
          </rPr>
          <t xml:space="preserve">ASD test methodology (ML1-PA-04):
Observe a vulnerability scan, or request evidence of previous vulnerability scans, and note the date/time stamp and scope. Check whether the list of scanned applications includes the list of applications that should have been scanned.</t>
        </r>
      </text>
    </comment>
    <comment ref="C10" authorId="0">
      <text>
        <r>
          <rPr>
            <sz val="10"/>
            <rFont val="Arial"/>
            <family val="2"/>
          </rPr>
          <t xml:space="preserve">ASD test methodology (ML1-PA-05):
Use a vulnerability scanner to identify online services within the environment and check that they have been patched against a critical vulnerability or known working exploit. Determine the date the patch was installed and compare to when the patch was made available. Check that the gap between is not greater than 48 hours.</t>
        </r>
      </text>
    </comment>
    <comment ref="C11" authorId="0">
      <text>
        <r>
          <rPr>
            <sz val="10"/>
            <rFont val="Arial"/>
            <family val="2"/>
          </rPr>
          <t xml:space="preserve">ASD test methodology (ML1-PA-06):
Use a vulnerability scanner to identify online services within the environment and check that they have been patched against a non-critical vulnerability that has no known working exploits. Determine the date the patch was installed and compare to when the patch was made available. Check that the gap between is not greater than two weeks.</t>
        </r>
      </text>
    </comment>
    <comment ref="C12" authorId="0">
      <text>
        <r>
          <rPr>
            <sz val="10"/>
            <rFont val="Arial"/>
            <family val="2"/>
          </rPr>
          <t xml:space="preserve">ASD test methodology (ML1-PA-07):
Use a vulnerability scanner to identify the listed applications within the environment. Check the date applications were updated and compare to the dates patches were released. Check that the gap between is not greater than two weeks.</t>
        </r>
      </text>
    </comment>
    <comment ref="C13" authorId="0">
      <text>
        <r>
          <rPr>
            <sz val="10"/>
            <rFont val="Arial"/>
            <family val="2"/>
          </rPr>
          <t xml:space="preserve">ASD test methodology (ML1-PA-08):
Use a vulnerability scanner to identify online services within the environment and check they are still vendor supported.</t>
        </r>
      </text>
    </comment>
    <comment ref="C14" authorId="0">
      <text>
        <r>
          <rPr>
            <sz val="10"/>
            <rFont val="Arial"/>
            <family val="2"/>
          </rPr>
          <t xml:space="preserve">ASD test methodology (ML1-PA-09):
Use a vulnerability scanner to identify the listed applications within the environment and check they are still vendor supported.</t>
        </r>
      </text>
    </comment>
    <comment ref="C15" authorId="0">
      <text>
        <r>
          <rPr>
            <sz val="10"/>
            <rFont val="Arial"/>
            <family val="2"/>
          </rPr>
          <t xml:space="preserve">ASD test methodology (ML2-PA-01):
Observe a vulnerability scan, or request evidence of previous vulnerability scans, and note the date/time stamp and scope. Check whether the list of scanned applications includes the list of applications that should have been scanned.</t>
        </r>
      </text>
    </comment>
    <comment ref="C16" authorId="0">
      <text>
        <r>
          <rPr>
            <sz val="10"/>
            <rFont val="Arial"/>
            <family val="2"/>
          </rPr>
          <t xml:space="preserve">ASD test methodology (ML2-PA-02):
Use a vulnerability scanner to identify the listed applications within the environment. Check the date applications were updated and compare to the dates patches were released. Check that the gap between is not greater than one month.</t>
        </r>
      </text>
    </comment>
    <comment ref="C17" authorId="0">
      <text>
        <r>
          <rPr>
            <sz val="10"/>
            <rFont val="Arial"/>
            <family val="2"/>
          </rPr>
          <t xml:space="preserve">ASD test methodology (ML3-PA-01):
Use a vulnerability scanner to identify the listed applications within the environment and check that they have been patched against a critical vulnerability or known working exploit. Determine the date the patch was installed and compare to when the patch was made available. Check that the gap between is not greater than 48 hours.</t>
        </r>
      </text>
    </comment>
    <comment ref="C18" authorId="0">
      <text>
        <r>
          <rPr>
            <sz val="10"/>
            <rFont val="Arial"/>
            <family val="2"/>
          </rPr>
          <t xml:space="preserve">ASD test methodology (ML3-PA-02):
Use a vulnerability scanner to identify the listed applications within the environment and check that they have been patched against a non-critical vulnerability that has no known working exploits. Determine the date the patch was installed and compare to when the patch was made available. Check that the gap between is not greater than two weeks.</t>
        </r>
      </text>
    </comment>
    <comment ref="C19" authorId="0">
      <text>
        <r>
          <rPr>
            <sz val="10"/>
            <rFont val="Arial"/>
            <family val="2"/>
          </rPr>
          <t xml:space="preserve">ASD test methodology (ML3-PA-03):
Use a vulnerability scanner to identify the listed applications within the environment and check they are still vendor supported.</t>
        </r>
      </text>
    </comment>
    <comment ref="C21" authorId="0">
      <text>
        <r>
          <rPr>
            <sz val="10"/>
            <rFont val="Arial"/>
            <family val="2"/>
          </rPr>
          <t xml:space="preserve">ASD test methodology (ML1-PO-01):
Review the method of automated asset discovery being used to identify assets such as workstations, servers and network devices.
Request evidence of previous vulnerability scans and review the date/time stamp and scope.</t>
        </r>
      </text>
    </comment>
    <comment ref="C22" authorId="0">
      <text>
        <r>
          <rPr>
            <sz val="10"/>
            <rFont val="Arial"/>
            <family val="2"/>
          </rPr>
          <t xml:space="preserve">ASD test methodology (ML1-PO-02):
Request evidence of when the vulnerability database was last updated and compare to vulnerability scan history to determine whether updates occurred within 24 hours of vulnerability scans taking place.</t>
        </r>
      </text>
    </comment>
    <comment ref="C23" authorId="0">
      <text>
        <r>
          <rPr>
            <sz val="10"/>
            <rFont val="Arial"/>
            <family val="2"/>
          </rPr>
          <t xml:space="preserve">ASD test methodology (ML1-PO-03):
Observe a vulnerability scan, or request evidence of previous vulnerability scans, and note the date/time stamp and scope. Check whether the list of scanned devices includes the list of devices that should have been scanned.</t>
        </r>
      </text>
    </comment>
    <comment ref="C24" authorId="0">
      <text>
        <r>
          <rPr>
            <sz val="10"/>
            <rFont val="Arial"/>
            <family val="2"/>
          </rPr>
          <t xml:space="preserve">ASD test methodology (ML1-PO-04):
Observe a vulnerability scan, or request evidence of previous vulnerability scans, and note the date/time stamp and scope. Check whether the list of scanned devices includes the list of devices that should have been scanned.</t>
        </r>
      </text>
    </comment>
    <comment ref="C25" authorId="0">
      <text>
        <r>
          <rPr>
            <sz val="10"/>
            <rFont val="Arial"/>
            <family val="2"/>
          </rPr>
          <t xml:space="preserve">ASD test methodology (ML1-PO-05):
Use a vulnerability scanner to check whether operating systems for internet-facing servers and internet-facing network devices have been patched against a critical vulnerability or known working exploit. Determine the date the patch was installed and compare to when the patch was made available. Check that the gap between is not greater than 48 hours.</t>
        </r>
      </text>
    </comment>
    <comment ref="C26" authorId="0">
      <text>
        <r>
          <rPr>
            <sz val="10"/>
            <rFont val="Arial"/>
            <family val="2"/>
          </rPr>
          <t xml:space="preserve">ASD test methodology (ML1-PO-06):
Use a vulnerability scanner to check whether operating systems for internet-facing servers and internet-facing network devices have been patched against a non-critical vulnerability that has no known working exploits. Determine the date the patch was installed and compare to when the patch was made available. Check that the gap between is not greater than two weeks.</t>
        </r>
      </text>
    </comment>
    <comment ref="C27" authorId="0">
      <text>
        <r>
          <rPr>
            <sz val="10"/>
            <rFont val="Arial"/>
            <family val="2"/>
          </rPr>
          <t xml:space="preserve">ASD test methodology (ML1-PO-07):
Use a vulnerability scanner to check whether operating systems for workstations, non-internet-facing servers and non-internet-facing network devices have been patched against a vulnerability. Determine the date the patch was installed and compare to when the patch was made available. Check that the gap between is not greater than one month.</t>
        </r>
      </text>
    </comment>
    <comment ref="C28" authorId="0">
      <text>
        <r>
          <rPr>
            <sz val="10"/>
            <rFont val="Arial"/>
            <family val="2"/>
          </rPr>
          <t xml:space="preserve">ASD test methodology (ML1-PO-08):
Use a vulnerability scanner to identify operating systems within the environment and check they are still vendor supported.</t>
        </r>
      </text>
    </comment>
    <comment ref="C29" authorId="0">
      <text>
        <r>
          <rPr>
            <sz val="10"/>
            <rFont val="Arial"/>
            <family val="2"/>
          </rPr>
          <t xml:space="preserve">ASD test methodology (ML3-PO-01):
Observe a vulnerability scan, or request evidence of previous vulnerability scans, and note the date/time stamp and scope. Check whether the vulnerability scan attempted to identify out-of-date drivers in operating systems.</t>
        </r>
      </text>
    </comment>
    <comment ref="C30" authorId="0">
      <text>
        <r>
          <rPr>
            <sz val="10"/>
            <rFont val="Arial"/>
            <family val="2"/>
          </rPr>
          <t xml:space="preserve">ASD test methodology (ML3-PO-02):
Observe a vulnerability scan, or request evidence of previous vulnerability scans, and note the date/time stamp and scope. Check whether the vulnerability scan attempted to identify out-of-date firmware for devices.</t>
        </r>
      </text>
    </comment>
    <comment ref="C31" authorId="0">
      <text>
        <r>
          <rPr>
            <sz val="10"/>
            <rFont val="Arial"/>
            <family val="2"/>
          </rPr>
          <t xml:space="preserve">ASD test methodology (ML3-PO-03):
Use a vulnerability scanner to check whether operating systems for workstations, non-internet-facing servers and non-internet-facing network devices have been patched against a critical vulnerability or known working exploit. Determine the date the patch was installed and compare to when the patch was made available. Check that the gap between is not greater than 48 hours.</t>
        </r>
      </text>
    </comment>
    <comment ref="C32" authorId="0">
      <text>
        <r>
          <rPr>
            <sz val="10"/>
            <rFont val="Arial"/>
            <family val="2"/>
          </rPr>
          <t xml:space="preserve">ASD test methodology (ML3-PO-04):
Use a vulnerability scanner to check whether operating systems for workstations, non-internet-facing servers and non-internet-facing network devices have been patched against a non-critical vulnerability that has no known working exploits. Determine the date the patch was installed and compare to when the patch was made available. Check that the gap between is not greater than one month.</t>
        </r>
      </text>
    </comment>
    <comment ref="C33" authorId="0">
      <text>
        <r>
          <rPr>
            <sz val="10"/>
            <rFont val="Arial"/>
            <family val="2"/>
          </rPr>
          <t xml:space="preserve">ASD test methodology (ML3-PO-05):
Use a vulnerability scanner to check whether drivers for operating systems have been updated to mitigate a critical vulnerability or known working exploit. Determine the date the driver update was installed and compare to when the driver was made available. Check that the gap between is not greater than 48 hours.</t>
        </r>
      </text>
    </comment>
    <comment ref="C34" authorId="0">
      <text>
        <r>
          <rPr>
            <sz val="10"/>
            <rFont val="Arial"/>
            <family val="2"/>
          </rPr>
          <t xml:space="preserve">ASD test methodology (ML3-PO-06):
Use a vulnerability scanner to check whether drivers for operating systems have been updated to mitigate a non-critical vulnerability that has no known working exploits. Determine the date the driver update was installed and compare to when the driver was made available. Check that the gap between is not greater than one month.</t>
        </r>
      </text>
    </comment>
    <comment ref="C35" authorId="0">
      <text>
        <r>
          <rPr>
            <sz val="10"/>
            <rFont val="Arial"/>
            <family val="2"/>
          </rPr>
          <t xml:space="preserve">ASD test methodology (ML3-PO-07):
Use a vulnerability scanner to check whether firmware for devices has been updated to mitigate a critical vulnerability or known working exploit. Determine the date the firmware update was installed and compare to when the firmware was made available. Check that the gap between is not greater than 48 hours.</t>
        </r>
      </text>
    </comment>
    <comment ref="C36" authorId="0">
      <text>
        <r>
          <rPr>
            <sz val="10"/>
            <rFont val="Arial"/>
            <family val="2"/>
          </rPr>
          <t xml:space="preserve">ASD test methodology (ML3-PO-08):
Use a vulnerability scanner to check whether firmware for devices has been updated to mitigate a non-critical vulnerability that has no known working exploits. Determine the date the firmware update was installed and compare to when the firmware was made available. Check that the gap between is not greater than one month.</t>
        </r>
      </text>
    </comment>
    <comment ref="C37" authorId="0">
      <text>
        <r>
          <rPr>
            <sz val="10"/>
            <rFont val="Arial"/>
            <family val="2"/>
          </rPr>
          <t xml:space="preserve">ASD test methodology (ML3-PO-09):
Query Active Directory using PowerShell commands or tools such as ADRecon or BloodHound to identify operating system versions within the environment.</t>
        </r>
      </text>
    </comment>
    <comment ref="C39" authorId="0">
      <text>
        <r>
          <rPr>
            <sz val="10"/>
            <rFont val="Arial"/>
            <family val="2"/>
          </rPr>
          <t xml:space="preserve">ASD test methodology (ML1-MF-01):
Identify the organisation’s use of their own online services to process, store or communicate their sensitive data. Attempt to logon, or observe a user logon, to the online services. Verify that the user is presented with an MFA challenge.</t>
        </r>
      </text>
    </comment>
    <comment ref="C40" authorId="0">
      <text>
        <r>
          <rPr>
            <sz val="10"/>
            <rFont val="Arial"/>
            <family val="2"/>
          </rPr>
          <t xml:space="preserve">ASD test methodology (ML1-MF-02):
Identify the organisation’s use of third-party online services to process, store or communicate their sensitive data. Attempt to logon, or observe a user logon, to the online services. Verify that the user is presented with an MFA challenge.</t>
        </r>
      </text>
    </comment>
    <comment ref="C41" authorId="0">
      <text>
        <r>
          <rPr>
            <sz val="10"/>
            <rFont val="Arial"/>
            <family val="2"/>
          </rPr>
          <t xml:space="preserve">ASD test methodology (ML1-MF-03):
Identify the organisation’s use of third-party online services to process, store or communicate their non-sensitive data. Attempt to logon, or observe a user logon, to the online services. Verify that the user is presented with an MFA challenge. If not, confirm that the online service provider does not offer MFA functionality.</t>
        </r>
      </text>
    </comment>
    <comment ref="C42" authorId="0">
      <text>
        <r>
          <rPr>
            <sz val="10"/>
            <rFont val="Arial"/>
            <family val="2"/>
          </rPr>
          <t xml:space="preserve">ASD test methodology (ML1-MF-04):
Identify the organisation’s use of their own online customer services to process, store or communicate their customers’ sensitive data. Attempt to logon, or observe a user logon, to the online customer services. Verify that the user is presented with an MFA challenge.</t>
        </r>
      </text>
    </comment>
    <comment ref="C43" authorId="0">
      <text>
        <r>
          <rPr>
            <sz val="10"/>
            <rFont val="Arial"/>
            <family val="2"/>
          </rPr>
          <t xml:space="preserve">ASD test methodology (ML1-MF-05):
Identify the organisation’s use of third-party online customer services to process, store or communicate their customers’ sensitive data. Attempt to logon, or observe a user logon, to the online customer services. Verify that the user is presented with an MFA challenge.</t>
        </r>
      </text>
    </comment>
    <comment ref="C44" authorId="0">
      <text>
        <r>
          <rPr>
            <sz val="10"/>
            <rFont val="Arial"/>
            <family val="2"/>
          </rPr>
          <t xml:space="preserve">ASD test methodology (ML1-MF-06):
Identify the organisation’s use of online customer services (both their own and third party) to process, store or communicate their customers’ sensitive data. Attempt to logon as a typical customer, or observe a customer logon, to the online customer services. Verify that the customer is presented with an MFA challenge.</t>
        </r>
      </text>
    </comment>
    <comment ref="C45" authorId="0">
      <text>
        <r>
          <rPr>
            <sz val="10"/>
            <rFont val="Arial"/>
            <family val="2"/>
          </rPr>
          <t xml:space="preserve">ASD test methodology (ML1-MF-07):
When observing users and customers performing MFA, determine whether it uses either of the below approaches:
Something users have (e.g. look-up secrets, out-of-band devices, single-factor OTP devices, single-factor cryptographic software or single-factor cryptographic devices) AND something users know (e.g. memorised secrets).
OR
Something users have that is unlocked by something users know or are (e.g. multi-factor OTP devices, multi-factor cryptographic software and multi-factor cryptographic devices).</t>
        </r>
      </text>
    </comment>
    <comment ref="C46" authorId="0">
      <text>
        <r>
          <rPr>
            <sz val="10"/>
            <rFont val="Arial"/>
            <family val="2"/>
          </rPr>
          <t xml:space="preserve">ASD test methodology (ML2-MF-01):
Verify a privileged user is presented with a MFA challenge when authenticating to their workstation or attempting to raise privileges.</t>
        </r>
      </text>
    </comment>
    <comment ref="C47" authorId="0">
      <text>
        <r>
          <rPr>
            <sz val="10"/>
            <rFont val="Arial"/>
            <family val="2"/>
          </rPr>
          <t xml:space="preserve">ASD test methodology (ML2-MF-02):
Verify an unprivileged user is presented with a MFA challenge when authenticating to their workstation.</t>
        </r>
      </text>
    </comment>
    <comment ref="C48" authorId="0">
      <text>
        <r>
          <rPr>
            <sz val="10"/>
            <rFont val="Arial"/>
            <family val="2"/>
          </rPr>
          <t xml:space="preserve">ASD test methodology (ML2-MF-03):
Verify MFA for users of online services (including online customer services) uses either security keys, smart cards or passkeys.</t>
        </r>
      </text>
    </comment>
    <comment ref="C49" authorId="0">
      <text>
        <r>
          <rPr>
            <sz val="10"/>
            <rFont val="Arial"/>
            <family val="2"/>
          </rPr>
          <t xml:space="preserve">ASD test methodology (ML2-MF-04):
Verify MFA for customers of online customer services offers the ability to use either security keys, smart cards or passkeys.</t>
        </r>
      </text>
    </comment>
    <comment ref="C50" authorId="0">
      <text>
        <r>
          <rPr>
            <sz val="10"/>
            <rFont val="Arial"/>
            <family val="2"/>
          </rPr>
          <t xml:space="preserve">ASD test methodology (ML2-MF-05):
Verify MFA for users of systems uses either security keys, smart cards or Windows Hello for Business.</t>
        </r>
      </text>
    </comment>
    <comment ref="C51" authorId="0">
      <text>
        <r>
          <rPr>
            <sz val="10"/>
            <rFont val="Arial"/>
            <family val="2"/>
          </rPr>
          <t xml:space="preserve">ASD test methodology (ML2-MF-06):
Verify the following event logs are centrally captured.
Successful MFA events for the organisation’s online systems.
Successful MFA events for administrative access.
Unsuccessful MFA events for the organisation’s online systems.
Unsuccessful MFA events for administrative access.</t>
        </r>
      </text>
    </comment>
    <comment ref="C52" authorId="0">
      <text>
        <r>
          <rPr>
            <sz val="10"/>
            <rFont val="Arial"/>
            <family val="2"/>
          </rPr>
          <t xml:space="preserve">ASD test methodology (ML2-MF-07):
Verify unauthorised users are unable to modify or delete event logs.</t>
        </r>
      </text>
    </comment>
    <comment ref="C53" authorId="0">
      <text>
        <r>
          <rPr>
            <sz val="10"/>
            <rFont val="Arial"/>
            <family val="2"/>
          </rPr>
          <t xml:space="preserve">ASD test methodology (ML2-MF-08):
Verify the organisation has responded to a sign of compromise in an internet-facing server trigged by monitoring activities. This evidence will typically exist as support tickets, email correspondence or threat and risk assessments.</t>
        </r>
      </text>
    </comment>
    <comment ref="C54" authorId="0">
      <text>
        <r>
          <rPr>
            <sz val="10"/>
            <rFont val="Arial"/>
            <family val="2"/>
          </rPr>
          <t xml:space="preserve">ASD test methodology (ML2-MF-09):
Verify the organisation has identified a cyber security incident through the analysis of cyber security events. This evidence will typically exist as email correspondence.</t>
        </r>
      </text>
    </comment>
    <comment ref="C55" authorId="0">
      <text>
        <r>
          <rPr>
            <sz val="10"/>
            <rFont val="Arial"/>
            <family val="2"/>
          </rPr>
          <t xml:space="preserve">ASD test methodology (ML2-MF-10):
Verify that cyber security incidents are being reporting internally within the organisation. Identify that such reporting is occurring within a reasonable timeframe. This evidence will typically exist as email correspondence or formal briefing material.</t>
        </r>
      </text>
    </comment>
    <comment ref="C56" authorId="0">
      <text>
        <r>
          <rPr>
            <sz val="10"/>
            <rFont val="Arial"/>
            <family val="2"/>
          </rPr>
          <t xml:space="preserve">ASD test methodology (ML2-MF-11):
Verify that cyber security incidents are being reporting to ASD. Identify that such reporting is occurring within a reasonable timeframe. This evidence will typically exist as incident numbers provided by ASD for all reports submitted via ReportCyber.</t>
        </r>
      </text>
    </comment>
    <comment ref="C57" authorId="0">
      <text>
        <r>
          <rPr>
            <sz val="10"/>
            <rFont val="Arial"/>
            <family val="2"/>
          </rPr>
          <t xml:space="preserve">ASD test methodology (ML2-MF-12):
Verify that the organisation has an up-to-date cyber security incident response plan. It should accurately represent processes and procedures following in response to the last cyber security incident experienced by the organisation.</t>
        </r>
      </text>
    </comment>
    <comment ref="C58" authorId="0">
      <text>
        <r>
          <rPr>
            <sz val="10"/>
            <rFont val="Arial"/>
            <family val="2"/>
          </rPr>
          <t xml:space="preserve">ASD test methodology (ML3-MF-01):
Verify both a privileged and unprivileged user is presented with a MFA challenge when authenticating to data repositories.</t>
        </r>
      </text>
    </comment>
    <comment ref="C59" authorId="0">
      <text>
        <r>
          <rPr>
            <sz val="10"/>
            <rFont val="Arial"/>
            <family val="2"/>
          </rPr>
          <t xml:space="preserve">ASD test methodology (ML3-MF-02):
Verify MFA for customers of online customer services uses either security keys, smart cards or passkeys.</t>
        </r>
      </text>
    </comment>
    <comment ref="C60" authorId="0">
      <text>
        <r>
          <rPr>
            <sz val="10"/>
            <rFont val="Arial"/>
            <family val="2"/>
          </rPr>
          <t xml:space="preserve">ASD test methodology (ML3-MF-03):
Verify MFA for users of data repositories uses either security keys, smart cards or Windows Hello for Business.</t>
        </r>
      </text>
    </comment>
    <comment ref="C61" authorId="0">
      <text>
        <r>
          <rPr>
            <sz val="10"/>
            <rFont val="Arial"/>
            <family val="2"/>
          </rPr>
          <t xml:space="preserve">ASD test methodology (ML3-MF-04):
Verify the organisation has responded to a sign of compromise in a non-internet-facing server trigged by monitoring activities. This evidence will typically exist as support tickets, email correspondence or threat and risk assessments.</t>
        </r>
      </text>
    </comment>
    <comment ref="C62" authorId="0">
      <text>
        <r>
          <rPr>
            <sz val="10"/>
            <rFont val="Arial"/>
            <family val="2"/>
          </rPr>
          <t xml:space="preserve">ASD test methodology (ML3-MF-05):
Verify the organisation has responded to a sign of compromise in a workstation trigged by monitoring activities. This evidence will typically exist as support tickets, email correspondence or threat and risk assessments.</t>
        </r>
      </text>
    </comment>
    <comment ref="C64" authorId="0">
      <text>
        <r>
          <rPr>
            <sz val="10"/>
            <rFont val="Arial"/>
            <family val="2"/>
          </rPr>
          <t xml:space="preserve">ASD test methodology (ML1-RA-01):
Confirm the organisation has documented, approved and enforced privileged access processes and procedures that outline the requirements for provisioning privileged accounts. Confirm the organisation has a list of systems, applications and data repositories that require privileged access.
Review documented privileged access processes and procedures. Request forms, support tickets or emails provided by users requesting privileged access to systems, applications or data repositories along with approvals. This can be compared to screenshots of accounts with privileged access to determine if there are any discrepancies.</t>
        </r>
      </text>
    </comment>
    <comment ref="C65" authorId="0">
      <text>
        <r>
          <rPr>
            <sz val="10"/>
            <rFont val="Arial"/>
            <family val="2"/>
          </rPr>
          <t xml:space="preserve">ASD test methodology (ML1-RA-02):
Discuss whether privileged users are assigned separate unprivileged and privileged accounts or whether they use a single privileged account for all their duties. Request a privileged user show you the accounts they use for privileged actions and unprivileged actions.</t>
        </r>
      </text>
    </comment>
    <comment ref="C66" authorId="0">
      <text>
        <r>
          <rPr>
            <sz val="10"/>
            <rFont val="Arial"/>
            <family val="2"/>
          </rPr>
          <t xml:space="preserve">ASD test methodology (ML1-RA-03):
While logged in as a privileged user, attempt to browse to an internet website. Review the configuration preventing internet access and attempt to change this as a privileged user not responsible for administering that system. Privileged accounts not responsible for administering these systems should not be able to change settings to access the internet.
Attempt to open Microsoft Outlook on a system using the privileged account.
Run the following PowerShell command to check if privileged accounts have access to mailboxes and email addresses:
Get-ADUser -Filter {(admincount -eq 1) -and (emailaddress -like "*") -and (enabled -eq $true)} -Properties EmailAddress | Select samaccountname, emailaddress</t>
        </r>
      </text>
    </comment>
    <comment ref="C67" authorId="0">
      <text>
        <r>
          <rPr>
            <sz val="10"/>
            <rFont val="Arial"/>
            <family val="2"/>
          </rPr>
          <t xml:space="preserve">ASD test methodology (ML1-RA-04):
Confirm the organisation has a documented and approved list of privileged accounts that require access to online services. It should specify which account has access to which online service.
Determine whether these accounts are appropriately limited from accessing all other online services over the internet.</t>
        </r>
      </text>
    </comment>
    <comment ref="C68" authorId="0">
      <text>
        <r>
          <rPr>
            <sz val="10"/>
            <rFont val="Arial"/>
            <family val="2"/>
          </rPr>
          <t xml:space="preserve">ASD test methodology (ML1-RA-05):
Attempt to access the administrative network environment using a standard account. Attempt to access the standard environment using a privileged account. Look for evidence of administrative access to unprivileged environments using tools such as BloodHound.</t>
        </r>
      </text>
    </comment>
    <comment ref="C69" authorId="0">
      <text>
        <r>
          <rPr>
            <sz val="10"/>
            <rFont val="Arial"/>
            <family val="2"/>
          </rPr>
          <t xml:space="preserve">ASD test methodology (ML1-RA-06):
Attempt to logon to a privileged operating environment using a standard account. Use BloodHound to analyse Active Directory data and any unprivileged accounts that have connected to privileged operating environments by looking for cached credentials.</t>
        </r>
      </text>
    </comment>
    <comment ref="C70" authorId="0">
      <text>
        <r>
          <rPr>
            <sz val="10"/>
            <rFont val="Arial"/>
            <family val="2"/>
          </rPr>
          <t xml:space="preserve">ASD test methodology (ML1-RA-07):
Request a demonstration of a privileged account attempting to logon to a standard user workstation. Check group policy settings for ‘Deny logon locally’ and ‘Deny log on through Remote Desktop Services user rights’ to workstations for privileged accounts.
While logged in as a standard user, attempt to use ‘runas’ to open an application as an administrator. Attempt other ways (e.g. WinRM, Computer Management or RDP) to escalate privileges to an administrator.</t>
        </r>
      </text>
    </comment>
    <comment ref="C71" authorId="0">
      <text>
        <r>
          <rPr>
            <sz val="10"/>
            <rFont val="Arial"/>
            <family val="2"/>
          </rPr>
          <t xml:space="preserve">ASD test methodology (ML2-RA-01):
Review documented process to disable privileged access after 12 months. Review evidence, such as support tickets, emails, logs or an automated disabling procedure to confirm accounts are disabled after 12 months unless revalidated.
Query Active Directory using PowerShell commands or tools such as ADRecon to identify accounts with no expiry dates or an expiration date greater than 12 months.
The following PowerShell command returns privileged accounts with no account expiry set.
Get-ADUser -Filter {(admincount -eq 1) -and (enabled -eq $true)} -Properties AccountExpirationDate | Where-Object {$_.AccountExpirationDate -like ""} | Select @{n='Username'; e={$_.SamAccountName}}, @{n='Account Expiration Date'; e={$_.AccountExpirationDate}}, @{n='Enabled'; e={$_.Enabled}}
The following PowerShell command returns any privileged accounts that have an expiry date greater than 12 months.
Get-ADUser -Filter {(admincount -eq 1) -and (enabled -eq $true)} -Properties AccountExpirationDate | Where-Object {$_.AccountExpirationDate -gt (Get-Date).AddMonths(12)} | Select @{n='Username'; e={$_.SamAccountName}}, @{n='Account Expiration Date'; e={$_.AccountExpirationDate}}, @{n='Enabled'; e={$_.Enabled}}</t>
        </r>
      </text>
    </comment>
    <comment ref="C72" authorId="0">
      <text>
        <r>
          <rPr>
            <sz val="10"/>
            <rFont val="Arial"/>
            <family val="2"/>
          </rPr>
          <t xml:space="preserve">ASD test methodology (ML2-RA-02):
Review documented process to disable privileged access after 45 days of inactivity. Review evidence, such as support tickets, emails, logs or an automated disabling procedure to confirm privileged accounts are disabled after 45 days of inactivity.
Query Active Directory using PowerShell commands or tools such as ADRecon to identify privileged accounts with a ‘lastlogondate’ greater than 45 days.
Get-ADUser -Filter {(admincount -eq 1) -and (enabled -eq $true)} -Properties LastLogonDate | Where-Object {$_.LastLogonDate -lt (Get-Date).AddDays(-45) -and$_.LastLogonDate -ne $null} | Select @{n='Username'; e={$_.samaccountname}}, @{n='Last Logon Date'; e={$_.LastLogonDate}}, @{n='Enabled'; e={$_.enabled}}</t>
        </r>
      </text>
    </comment>
    <comment ref="C73" authorId="0">
      <text>
        <r>
          <rPr>
            <sz val="10"/>
            <rFont val="Arial"/>
            <family val="2"/>
          </rPr>
          <t xml:space="preserve">ASD test methodology (ML2-RA-03):
Confirm with the organisation where the infrastructure for privileged operating environments is hosted. Look for privileged operating environment on unprivileged virtual hosts and typical user workstations.</t>
        </r>
      </text>
    </comment>
    <comment ref="C74" authorId="0">
      <text>
        <r>
          <rPr>
            <sz val="10"/>
            <rFont val="Arial"/>
            <family val="2"/>
          </rPr>
          <t xml:space="preserve">ASD test methodology (ML2-RA-04):
Attempt to connect to servers or administrator-only systems from an unprivileged operating environment.</t>
        </r>
      </text>
    </comment>
    <comment ref="C75" authorId="0">
      <text>
        <r>
          <rPr>
            <sz val="10"/>
            <rFont val="Arial"/>
            <family val="2"/>
          </rPr>
          <t xml:space="preserve">ASD test methodology (ML2-RA-05):
Run the following PowerShell commands to retrieve the number of devices with LAPS and compare this with the number of devices in Active Directory.
Run the following PowerShell command to get number of devices with LAPS.
Get-ADComputer -Filter {ms-Mcs-AdmPwdExpirationTime -like "*"} -Properties ms-Mcs-AdmPwdExpirationTime | measure
Run the following PowerShell command to get the number of enabled devices in Active Directory.
Get-ADComputer -Filter {Enabled -eq $true} | measure
Observe evidence of a password management or privileged access management solution in use for managing break glass and service account passwords. Ensure generated passwords are unique, unpredictable and meet a minimum length requirement (i.e. 30 characters). Look for accounts with identical passwords.
Confirm how passwords are generated for local administrator accounts and how they are managed. If using LAPS for local administrator accounts, check the following group policy setting Computer Configuration/Administrative Templates/LAPS/Password Settings.
Query Active Directory using PowerShell commands or tools such as ADRecon to identify service accounts with passwords last set more than 12 months ago.
Run the following PowerShell command to get service accounts with passwords older than 12 months. Replace SVC_* with service account naming convention.
$PassLastSetTimeFrame = (Get-Date).AddMonths(-12)
Get-ADUser -Filter "enabled -eq 'true' -and SamAccountName -like 'SVC_*'" -Properties pwdlastset | Where-Object{$_.pwdlastset -like '0' -or ([datetime]::FromFileTime($_.pwdLastSet) -lt $PassLastSetTimeFrame)} | Select-Object SAMAccountName, @{name ="pwdLastSet"; expression={([datetime]::FromFileTime($_.pwdLastSet))}}</t>
        </r>
      </text>
    </comment>
    <comment ref="C76" authorId="0">
      <text>
        <r>
          <rPr>
            <sz val="10"/>
            <rFont val="Arial"/>
            <family val="2"/>
          </rPr>
          <t xml:space="preserve">ASD test methodology (ML2-RA-06):
Verify the following event logs are centrally captured.
Event ID 4672 is created when an account with special privileges successfully logs in.
Event ID 4625 is created when a logon request fails.</t>
        </r>
      </text>
    </comment>
    <comment ref="C77" authorId="0">
      <text>
        <r>
          <rPr>
            <sz val="10"/>
            <rFont val="Arial"/>
            <family val="2"/>
          </rPr>
          <t xml:space="preserve">ASD test methodology (ML2-RA-07):
Verify the following event logs are centrally captured.
Event ID 4738 is created when a user account is modified in Active Directory.
Event ID 4728 is created when a member is added to an Active Directory Security Group.
Event ID 4729 is created when a member is removed from an Active Directory Security Group.
Event ID 4737 is created when a change is made to an Active Directory Security Group.</t>
        </r>
      </text>
    </comment>
    <comment ref="C78" authorId="0">
      <text>
        <r>
          <rPr>
            <sz val="10"/>
            <rFont val="Arial"/>
            <family val="2"/>
          </rPr>
          <t xml:space="preserve">ASD test methodology (ML2-RA-08):
Verify unauthorised users are unable to modify or delete event logs.</t>
        </r>
      </text>
    </comment>
    <comment ref="C79" authorId="0">
      <text>
        <r>
          <rPr>
            <sz val="10"/>
            <rFont val="Arial"/>
            <family val="2"/>
          </rPr>
          <t xml:space="preserve">ASD test methodology (ML2-RA-09):
Verify the organisation has responded to a sign of compromise in an internet-facing server trigged by monitoring activities. This evidence will typically exist as support tickets, email correspondence or threat and risk assessments.</t>
        </r>
      </text>
    </comment>
    <comment ref="C80" authorId="0">
      <text>
        <r>
          <rPr>
            <sz val="10"/>
            <rFont val="Arial"/>
            <family val="2"/>
          </rPr>
          <t xml:space="preserve">ASD test methodology (ML2-RA-10):
Verify the organisation has identified a cyber security incident through the analysis of cyber security events. This evidence will typically exist as email correspondence.</t>
        </r>
      </text>
    </comment>
    <comment ref="C81" authorId="0">
      <text>
        <r>
          <rPr>
            <sz val="10"/>
            <rFont val="Arial"/>
            <family val="2"/>
          </rPr>
          <t xml:space="preserve">ASD test methodology (ML2-RA-11):
Verify that cyber security incidents are being reporting internally within the organisation. Identify that such reporting is occurring within a reasonable timeframe. This evidence will typically exist as email correspondence or formal briefing material.</t>
        </r>
      </text>
    </comment>
    <comment ref="C82" authorId="0">
      <text>
        <r>
          <rPr>
            <sz val="10"/>
            <rFont val="Arial"/>
            <family val="2"/>
          </rPr>
          <t xml:space="preserve">ASD test methodology (ML2-RA-12):
Verify that cyber security incidents are being reporting to ASD. Identify that such reporting is occurring within a reasonable timeframe. This evidence will typically exist as incident numbers provided by ASD for all reports submitted via ReportCyber.</t>
        </r>
      </text>
    </comment>
    <comment ref="C83" authorId="0">
      <text>
        <r>
          <rPr>
            <sz val="10"/>
            <rFont val="Arial"/>
            <family val="2"/>
          </rPr>
          <t xml:space="preserve">ASD test methodology (ML2-RA-13):
Verify that the organisation has an up-to-date cyber security incident response plan. It should accurately represent processes and procedures following in response to the last cyber security incident experienced by the organisation.</t>
        </r>
      </text>
    </comment>
    <comment ref="C84" authorId="0">
      <text>
        <r>
          <rPr>
            <sz val="10"/>
            <rFont val="Arial"/>
            <family val="2"/>
          </rPr>
          <t xml:space="preserve">ASD test methodology (ML3-RA-01):
Review the privileged users of systems, applications and data repositories. Ensure their assigned privileges match their expected duties and role. Query Active Directory using PowerShell commands or tools such as BloodHound and ADRecon to identify users with more privileges than required in their role. Ensure privileged Active Directory groups such as Domain Administrators have limited membership.</t>
        </r>
      </text>
    </comment>
    <comment ref="C85" authorId="0">
      <text>
        <r>
          <rPr>
            <sz val="10"/>
            <rFont val="Arial"/>
            <family val="2"/>
          </rPr>
          <t xml:space="preserve">ASD test methodology (ML3-RA-02):
Verify that the principles of Secure Admin Workstations are being applied to privileged operating environments. For example, by minimising the attack surface as much as possible by removing unnecessary functionality and hardening configurations through the use of ASD and vendor hardening guides.
Note, this control doesn’t necessary require that dedicated physical devices be used exclusively for privileged operating environments.</t>
        </r>
      </text>
    </comment>
    <comment ref="C86" authorId="0">
      <text>
        <r>
          <rPr>
            <sz val="10"/>
            <rFont val="Arial"/>
            <family val="2"/>
          </rPr>
          <t xml:space="preserve">ASD test methodology (ML3-RA-03):
Query Active Directory using PowerShell commands or tools such as ADRecon to identify privileged users and groups. Consider some users may currently have just-in-time access and ensure they are not permanently members of a privileged group.
Review evidence of valid use of this system, such as service requests or support tickets. Look for evidence of this solution being bypassed, such as users in privileged groups for extended periods of time. Ensure the system configuration meets the intent of this control, such as limiting who can receive privileged access.</t>
        </r>
      </text>
    </comment>
    <comment ref="C87" authorId="0">
      <text>
        <r>
          <rPr>
            <sz val="10"/>
            <rFont val="Arial"/>
            <family val="2"/>
          </rPr>
          <t xml:space="preserve">ASD test methodology (ML3-RA-04):
Check the registry setting at HKLM:\SYSTEM\CurrentControlSet\Control\ DeviceGuard\Scenarios\HypervisorEnforcedCodeIntegrity\ and confirm that Enabled is set to 0 or 1.
E8MVT is able to check the registry setting for this control.
Get-ItemProperty -Path "HKLM:\SYSTEM\CurrentControlSet\Control\ DeviceGuard\Scenarios\HypervisorEnforcedCodeIntegrity\" | Select-Object -Property Enabled</t>
        </r>
      </text>
    </comment>
    <comment ref="C88" authorId="0">
      <text>
        <r>
          <rPr>
            <sz val="10"/>
            <rFont val="Arial"/>
            <family val="2"/>
          </rPr>
          <t xml:space="preserve">ASD test methodology (ML3-RA-05):
Check the registry setting at HKLM:\SYSTEM\CurrentControlSet\Control\LSA\ and confirm that RunAsPPL is set to 1 or 2.
E8MVT is able to check the registry setting for this control.
Get-ItemProperty -Path "HKLM:\SYSTEM\CurrentControlSet\Control\LSA\" | Select-Object -Property RunAsPPL</t>
        </r>
      </text>
    </comment>
    <comment ref="C89" authorId="0">
      <text>
        <r>
          <rPr>
            <sz val="10"/>
            <rFont val="Arial"/>
            <family val="2"/>
          </rPr>
          <t xml:space="preserve">ASD test methodology (ML3-RA-06):
Check the registry setting at HKLM:\SYSTEM\CurrentControlSet\Control\LSA\ and confirm that LsaCfgFlags is set to 1 or 2.
E8MVT is able to check the registry setting for this control.
Get-ItemProperty -Path "HKLM:\SYSTEM\CurrentControlSet\Control\LSA\" | Select-Object -Property lsacfgflags</t>
        </r>
      </text>
    </comment>
    <comment ref="C90" authorId="0">
      <text>
        <r>
          <rPr>
            <sz val="10"/>
            <rFont val="Arial"/>
            <family val="2"/>
          </rPr>
          <t xml:space="preserve">ASD test methodology (ML3-RA-07):
Check the registry setting at HKLM:\SYSTEM\CurrentControlSet\Control\LSA\ and confirm that DisableRestrictedAdmin is set to 0.
E8MVT is able to check the registry setting for this control.
Get-ItemProperty -Path "HKLM:\SYSTEM\CurrentControlSet\Control\LSA\" | Select-Object -Property DisabledRestrictedAdmin</t>
        </r>
      </text>
    </comment>
    <comment ref="C91" authorId="0">
      <text>
        <r>
          <rPr>
            <sz val="10"/>
            <rFont val="Arial"/>
            <family val="2"/>
          </rPr>
          <t xml:space="preserve">ASD test methodology (ML3-RA-08):
Verify the organisation has responded to a sign of compromise in a non-internet-facing server trigged by monitoring activities. This evidence will typically exist as support tickets, email correspondence or threat and risk assessments.</t>
        </r>
      </text>
    </comment>
    <comment ref="C92" authorId="0">
      <text>
        <r>
          <rPr>
            <sz val="10"/>
            <rFont val="Arial"/>
            <family val="2"/>
          </rPr>
          <t xml:space="preserve">ASD test methodology (ML3-RA-09):
Verify the organisation has responded to a sign of compromise in a workstation trigged by monitoring activities. This evidence will typically exist as support tickets, email correspondence or threat and risk assessments.</t>
        </r>
      </text>
    </comment>
    <comment ref="C94" authorId="0">
      <text>
        <r>
          <rPr>
            <sz val="10"/>
            <rFont val="Arial"/>
            <family val="2"/>
          </rPr>
          <t xml:space="preserve">ASD test methodology (ML1-AC-01):
Check whether an in-built or third-party application control solution has been implemented for workstations.</t>
        </r>
      </text>
    </comment>
    <comment ref="C95" authorId="0">
      <text>
        <r>
          <rPr>
            <sz val="10"/>
            <rFont val="Arial"/>
            <family val="2"/>
          </rPr>
          <t xml:space="preserve">ASD test methodology (ML1-AC-02):
If a path-based approach is used for application control, check that it covers user profiles and temporary folders used by operating systems, web browsers and email clients. Note, hash-based and publisher-based approaches are system-wide and automatically meet the intent of this control.</t>
        </r>
      </text>
    </comment>
    <comment ref="C96" authorId="0">
      <text>
        <r>
          <rPr>
            <sz val="10"/>
            <rFont val="Arial"/>
            <family val="2"/>
          </rPr>
          <t xml:space="preserve">ASD test methodology (ML1-AC-03):
Compare the application control policy to the organisation’s approved set of applications. Confirm the application control policy is functioning as expected by using ACVT.
E8MVT can be used to perform limited (single folder) testing for file execution in user profiles and temporary directories.
The tester should attempt to execute a benign executable (EXE or COM) file inside of the user profile directory. The tester should be aware that subfolders within the user profile may have different behaviour depending on the configuration.
The tester should attempt to execute a benign software library (DLL or OCX) file inside of the user profile directory. The tester should be aware that subfolders within the user profile may have different behaviour depending on the configuration.
The tester should attempt to execute multiple benign script (PS, VBS, BAT or JS) files inside of the user profile directory. The tester should be aware that subfolders within the user profile may have different behaviour depending on the configuration.
The tester should attempt to execute a benign installer (MSI, MST or MSP) file inside of the user profile directory. The tester should be aware that subfolders within the user profile may have different behaviour depending on the configuration.
The tester should attempt to execute a benign compiled HTML (CHM) file inside of the user profile directory. The tester should be aware that subfolders within the user profile may have different behaviour depending on the configuration.
The tester should attempt to execute a benign HTML application (HTA) file inside of the user profile directory. The tester should be aware that subfolders within the user profile may have different behaviour depending on the configuration.
The tester should attempt to execute a benign control panel applet (CPL) file inside of the user profile directory. The tester should be aware that subfolders within the user profile may have different behaviour depending on the configuration.</t>
        </r>
      </text>
    </comment>
    <comment ref="C97" authorId="0">
      <text>
        <r>
          <rPr>
            <sz val="10"/>
            <rFont val="Arial"/>
            <family val="2"/>
          </rPr>
          <t xml:space="preserve">ASD test methodology (ML2-AC-01):
Check whether an in-built or third-party application control solution has been implemented for internet-facing servers.</t>
        </r>
      </text>
    </comment>
    <comment ref="C98" authorId="0">
      <text>
        <r>
          <rPr>
            <sz val="10"/>
            <rFont val="Arial"/>
            <family val="2"/>
          </rPr>
          <t xml:space="preserve">ASD test methodology (ML2-AC-02):
If a path-based approach is used for application control, check that it covers all locations other than user profiles and temporary folders used by operating systems, web browsers and email clients. Note, hash-based and publisher-based approaches are system-wide and automatically meet the intent of this control.</t>
        </r>
      </text>
    </comment>
    <comment ref="C99" authorId="0">
      <text>
        <r>
          <rPr>
            <sz val="10"/>
            <rFont val="Arial"/>
            <family val="2"/>
          </rPr>
          <t xml:space="preserve">ASD test methodology (ML2-AC-03):
Attempt to run a binary that is on the recommended application blocklist such as mshta.exe, wmic.exe or wscript.exe.
E8MVT will retrieve the latest version of the blocklist from Microsoft. It will compare each of the rules against those configured on the system and return a failed result if any do not match. This will not consider any rules that are determined to be necessary for business purposes and are risk managed.</t>
        </r>
      </text>
    </comment>
    <comment ref="C100" authorId="0">
      <text>
        <r>
          <rPr>
            <sz val="10"/>
            <rFont val="Arial"/>
            <family val="2"/>
          </rPr>
          <t xml:space="preserve">ASD test methodology (ML2-AC-04):
Check that the organisation has a process for reviewing the list of allowed applications on an annual or more frequent basis.
Check that there is evidence that the organisation has enacted the annual application list review within the last 12 months.</t>
        </r>
      </text>
    </comment>
    <comment ref="C101" authorId="0">
      <text>
        <r>
          <rPr>
            <sz val="10"/>
            <rFont val="Arial"/>
            <family val="2"/>
          </rPr>
          <t xml:space="preserve">ASD test methodology (ML2-AC-05):
Verify allowed and blocked application control event logs are centrally captured.</t>
        </r>
      </text>
    </comment>
    <comment ref="C102" authorId="0">
      <text>
        <r>
          <rPr>
            <sz val="10"/>
            <rFont val="Arial"/>
            <family val="2"/>
          </rPr>
          <t xml:space="preserve">ASD test methodology (ML2-AC-06):
Verify unauthorised users are unable to modify or delete event logs.</t>
        </r>
      </text>
    </comment>
    <comment ref="C103" authorId="0">
      <text>
        <r>
          <rPr>
            <sz val="10"/>
            <rFont val="Arial"/>
            <family val="2"/>
          </rPr>
          <t xml:space="preserve">ASD test methodology (ML2-AC-07):
Verify the organisation has responded to a sign of compromise in an internet-facing server trigged by monitoring activities. This evidence will typically exist as support tickets, email correspondence or threat and risk assessments.</t>
        </r>
      </text>
    </comment>
    <comment ref="C104" authorId="0">
      <text>
        <r>
          <rPr>
            <sz val="10"/>
            <rFont val="Arial"/>
            <family val="2"/>
          </rPr>
          <t xml:space="preserve">ASD test methodology (ML2-AC-08):
Verify the organisation has identified a cyber security incident through the analysis of cyber security events. This evidence will typically exist as email correspondence.</t>
        </r>
      </text>
    </comment>
    <comment ref="C105" authorId="0">
      <text>
        <r>
          <rPr>
            <sz val="10"/>
            <rFont val="Arial"/>
            <family val="2"/>
          </rPr>
          <t xml:space="preserve">ASD test methodology (ML2-AC-09):
Verify that cyber security incidents are being reporting internally within the organisation. Identify that such reporting is occurring within a reasonable timeframe. This evidence will typically exist as email correspondence or formal briefing material.</t>
        </r>
      </text>
    </comment>
    <comment ref="C106" authorId="0">
      <text>
        <r>
          <rPr>
            <sz val="10"/>
            <rFont val="Arial"/>
            <family val="2"/>
          </rPr>
          <t xml:space="preserve">ASD test methodology (ML2-AC-10):
Verify that cyber security incidents are being reporting to ASD. Identify that such reporting is occurring within a reasonable timeframe. This evidence will typically exist as incident numbers provided by ASD for all reports submitted via ReportCyber.</t>
        </r>
      </text>
    </comment>
    <comment ref="C107" authorId="0">
      <text>
        <r>
          <rPr>
            <sz val="10"/>
            <rFont val="Arial"/>
            <family val="2"/>
          </rPr>
          <t xml:space="preserve">ASD test methodology (ML2-AC-11):
Verify that the organisation has an up-to-date cyber security incident response plan. It should accurately represent processes and procedures following in response to the last cyber security incident experienced by the organisation.</t>
        </r>
      </text>
    </comment>
    <comment ref="C108" authorId="0">
      <text>
        <r>
          <rPr>
            <sz val="10"/>
            <rFont val="Arial"/>
            <family val="2"/>
          </rPr>
          <t xml:space="preserve">ASD test methodology (ML3-AC-01):
Check whether an in-built or third-party application control solution has been implemented for non-internet-facing servers.</t>
        </r>
      </text>
    </comment>
    <comment ref="C109" authorId="0">
      <text>
        <r>
          <rPr>
            <sz val="10"/>
            <rFont val="Arial"/>
            <family val="2"/>
          </rPr>
          <t xml:space="preserve">ASD test methodology (ML3-AC-02):
Determine the extent in which the organisation is approving the use of specific drivers in their environment. At a minimum, the organisation may make a risk-based decision to allow all drivers except for those on Microsoft’s vulnerable driver blocklist.</t>
        </r>
      </text>
    </comment>
    <comment ref="C110" authorId="0">
      <text>
        <r>
          <rPr>
            <sz val="10"/>
            <rFont val="Arial"/>
            <family val="2"/>
          </rPr>
          <t xml:space="preserve">ASD test methodology (ML3-AC-03):
Attempt to install a driver that is on the vulnerable driver blocklist. Verify rules for the blocked drivers exist in an application control configuration and that they are enforced. Alternatively, check whether memory integrity has been enabled via the Windows Security app as this will automatically enforce the vulnerable driver blocklist.
E8MVT will retrieve the latest version of the vulnerable driver blocklist from Microsoft. It will compare each of the rules against those configured on the system and return a failed result if any do not match. This will not consider any rules that are determined to be necessary for business purposes and are risk managed.</t>
        </r>
      </text>
    </comment>
    <comment ref="C111" authorId="0">
      <text>
        <r>
          <rPr>
            <sz val="10"/>
            <rFont val="Arial"/>
            <family val="2"/>
          </rPr>
          <t xml:space="preserve">ASD test methodology (ML3-AC-04):
Verify the organisation has responded to a sign of compromise in a non-internet-facing server trigged by monitoring activities. This evidence will typically exist as support tickets, email correspondence or threat and risk assessments.</t>
        </r>
      </text>
    </comment>
    <comment ref="C112" authorId="0">
      <text>
        <r>
          <rPr>
            <sz val="10"/>
            <rFont val="Arial"/>
            <family val="2"/>
          </rPr>
          <t xml:space="preserve">ASD test methodology (ML3-AC-05):
Verify the organisation has responded to a sign of compromise in a workstation trigged by monitoring activities. This evidence will typically exist as support tickets, email correspondence or threat and risk assessments.</t>
        </r>
      </text>
    </comment>
    <comment ref="C114" authorId="0">
      <text>
        <r>
          <rPr>
            <sz val="10"/>
            <rFont val="Arial"/>
            <family val="2"/>
          </rPr>
          <t xml:space="preserve">ASD test methodology (ML1-RM-01):
Run RSOP on workstations to identify the Microsoft Office macro security settings applied by group policy settings. This should typically be set to ‘Disable without notification’. Note ‘Disable with notification’ (the default setting) allows users to bypass this control and does not meet the intent. Check for Active Directory security groups that enforce Microsoft Office macro blocking.
Test running Microsoft Office macros on a user in the disallowed group. E8MVT will attempt to execute a Microsoft Office macro within a document.
Confirm a list of approved users who can execute Microsoft Office macros is maintained and matches the technical implementation. Typically, this means the Active Directory Security Group that permits Microsoft Office macro use should match the list of users who have been approved to run Microsoft Office macros.</t>
        </r>
      </text>
    </comment>
    <comment ref="C115" authorId="0">
      <text>
        <r>
          <rPr>
            <sz val="10"/>
            <rFont val="Arial"/>
            <family val="2"/>
          </rPr>
          <t xml:space="preserve">ASD test methodology (ML1-RM-02):
Check if the following group policy setting is enabled. Do this for all installed Microsoft Office applications that can execute macros.
User Configuration/Policies/Administrative Templates/Microsoft &lt;Application&gt;&lt;Version&gt;/Application Settings/Security/Trust Center/Block macros from running in Office files from the internet
Check if the following registry value exists and is set to 1. Do this for all installed Microsoft Office applications.
Computer\HKCU\SOFTWARE\Policies\Microsoft\office\&lt;version&gt;\&lt;Application&gt;\security\blockcontentexecutionfromInternet
E8MVT will check that these registry settings are configured to the correct setting.</t>
        </r>
      </text>
    </comment>
    <comment ref="C116" authorId="0">
      <text>
        <r>
          <rPr>
            <sz val="10"/>
            <rFont val="Arial"/>
            <family val="2"/>
          </rPr>
          <t xml:space="preserve">ASD test methodology (ML1-RM-03):
Check if the following group policy setting is enabled for all Microsoft Office applications.
User Configuration/Policies/Administrative Templates/Microsoft Office &lt;Version&gt;/Security Settings/Macro Runtime Scan Scope
E8MVT will check the registry to confirm that the policy setting is configured.
Attempt to run a pseudo malicious Microsoft Office macro that contains an EICAR test string. E8MVT will open a test file containing a Microsoft Office macro that will write the EICAR test string to a file.</t>
        </r>
      </text>
    </comment>
    <comment ref="C117" authorId="0">
      <text>
        <r>
          <rPr>
            <sz val="10"/>
            <rFont val="Arial"/>
            <family val="2"/>
          </rPr>
          <t xml:space="preserve">ASD test methodology (ML1-RM-04):
Open Microsoft Office applications and attempt to change the Microsoft Office macro security settings in the Trust Center.</t>
        </r>
      </text>
    </comment>
    <comment ref="C118" authorId="0">
      <text>
        <r>
          <rPr>
            <sz val="10"/>
            <rFont val="Arial"/>
            <family val="2"/>
          </rPr>
          <t xml:space="preserve">ASD test methodology (ML2-RM-01):
Open a file that contains a Microsoft Office macro that makes a Win32 API call. Do this for all installed Microsoft Office applications. E8MVT can assist with this test.</t>
        </r>
      </text>
    </comment>
    <comment ref="C119" authorId="0">
      <text>
        <r>
          <rPr>
            <sz val="10"/>
            <rFont val="Arial"/>
            <family val="2"/>
          </rPr>
          <t xml:space="preserve">ASD test methodology (ML3-RM-01):
Attempt to execute Microsoft Office macros from untrusted locations (if configured).
OR
Attempt to execute signed and unsigned Microsoft Office macros from untrusted publishers (if configured).
OR
Determine if a sandbox solution is in place and effective for Microsoft Office. Note, Application Guard for Office automatically blocks the execution of Microsoft Office macros rather than running them within a sandboxed environment.</t>
        </r>
      </text>
    </comment>
    <comment ref="C120" authorId="0">
      <text>
        <r>
          <rPr>
            <sz val="10"/>
            <rFont val="Arial"/>
            <family val="2"/>
          </rPr>
          <t xml:space="preserve">ASD test methodology (ML3-RM-02):
If digital signatures or Trusted Locations are used by the organisation, verify that a process exists for checking that Microsoft Office macros are free of malicious code.</t>
        </r>
      </text>
    </comment>
    <comment ref="C121" authorId="0">
      <text>
        <r>
          <rPr>
            <sz val="10"/>
            <rFont val="Arial"/>
            <family val="2"/>
          </rPr>
          <t xml:space="preserve">ASD test methodology (ML3-RM-03):
If Trusted Locations are used by the organisation, verify that a process exists for controlling write access to these locations.
Trusted Locations for each Microsoft Office application can be obtained from the registry at HKCU:\software\microsoft\office\&lt;version&gt;\&lt;product&gt;\security\trusted locations.
The following PowerShell command can be used to obtain a list of Trusted Locations.
Get-ItemProperty -Path "HKCU:\SOFTWARE\policies\microsoft\office\&lt;version&gt;\&lt;product&gt;\security\trusted locations"
As a standard user attempt to write a file to each of these locations.
E8MVT will find configured Trusted Locations and attempt to write a file to each location.</t>
        </r>
      </text>
    </comment>
    <comment ref="C122" authorId="0">
      <text>
        <r>
          <rPr>
            <sz val="10"/>
            <rFont val="Arial"/>
            <family val="2"/>
          </rPr>
          <t xml:space="preserve">ASD test methodology (ML3-RM-04):
Attempt to execute Microsoft Office macros in a Microsoft Office file signed by an untrusted publisher.
Check the trustbar value is set to 1 at the following registry location.
HKCU:\Software\Microsoft\Office\16.0\Common\TrustCenter\
Check the following registry entry for each Microsoft Office application to confirm that the TCID19092 value has been set.
HKCU\SOFTWARE\Policies\Microsoft\office\&lt;version&gt;\&lt;product&gt;\disabledcmdbaritemslist
The following PowerShell commands can also be used.
Get-ItemProperty -Path "HKCU:\SOFTWARE\Policies\Microsoft\office\16.0\Common\TrustCenter\" | Select-Object -Property trustbar
Get-ItemProperty -Path "HKCU:\SOFTWARE\Policies\Microsoft\office\&lt;version&gt;\&lt;product&gt;\" | Select-Object -Property disabledcmdbaritemslist
For example: Get-ItemProperty -Path "HKCU:\SOFTWARE\Policies\Microsoft\office\16.0\word\" | Select-Object -Property disabledcmdbaritemslist</t>
        </r>
      </text>
    </comment>
    <comment ref="C123" authorId="0">
      <text>
        <r>
          <rPr>
            <sz val="10"/>
            <rFont val="Arial"/>
            <family val="2"/>
          </rPr>
          <t xml:space="preserve">ASD test methodology (ML3-RM-05):
If digital signatures are used by the organisation, verify that only V3 signatures are supported.
The following PowerShell command be used to confirm this.
Get-ItemProperty -Path "HKCU:\SOFTWARE\Policies\Microsoft\VBA\security\" | Select-Object -Property onlytrustvbasignaturev3</t>
        </r>
      </text>
    </comment>
    <comment ref="C124" authorId="0">
      <text>
        <r>
          <rPr>
            <sz val="10"/>
            <rFont val="Arial"/>
            <family val="2"/>
          </rPr>
          <t xml:space="preserve">ASD test methodology (ML3-RM-06):
If digital signatures are used by the organisation, verify that a process is in place to regularly review this list to allow/remove trusted publishers. Request evidence of an annual validation having taken place.
Ideally, the organisation should re-sign all approved Microsoft Office macros obtained from external parties, after appropriate checks have taken place, and only list certificates they control within the trusted publishers list.</t>
        </r>
      </text>
    </comment>
    <comment ref="C126" authorId="0">
      <text>
        <r>
          <rPr>
            <sz val="10"/>
            <rFont val="Arial"/>
            <family val="2"/>
          </rPr>
          <t xml:space="preserve">ASD test methodology (ML1-AH-01):
E8MVT will perform a check of the group policy setting to disable Internet Explorer 11. In addition, check that the folder containing Internet Explorer 11 in Program Files and Program Files (x86) has been removed and that the iexplore.exe binary does not exist on the system.
E8MVT will check for the existence of the iexplore.exe binary in Program Files locations.
Note, even in Microsoft Windows 11, the iexplore.exe binary may still exist and various methods can be used to open Internet Explorer 11 as a standalone browser. To prevent this from occurring, either the iexplore.exe binary should be removed or an application control block rule implemented to block its execution.</t>
        </r>
      </text>
    </comment>
    <comment ref="C127" authorId="0">
      <text>
        <r>
          <rPr>
            <sz val="10"/>
            <rFont val="Arial"/>
            <family val="2"/>
          </rPr>
          <t xml:space="preserve">ASD test methodology (ML1-AH-02):
Load a website in Microsoft Edge with known Java content and check if it renders in the web browser. Check the following registry keys.
HKLM:\SOFTWARE\Oracle\JavaDeploy\WebDeployJava
HKLM:\SOFTWARE\JavaSoft\Java Plug-in\
Alternatively, the following PowerShell commands can be used.
Get-ItemProperty -Path "HKLM:\SOFTWARE\Oracle\JavaDeploy\WebDeployJava"
Get-ItemProperty -Path "HKLM:\SOFTWARE\JavaSoft\Java Plug-in"
Load a website in Google Chrome with known Java content and check if it renders in the web browser.
Load a website in Mozilla Firefox with known Java content and check if it renders in the web browser.</t>
        </r>
      </text>
    </comment>
    <comment ref="C128" authorId="0">
      <text>
        <r>
          <rPr>
            <sz val="10"/>
            <rFont val="Arial"/>
            <family val="2"/>
          </rPr>
          <t xml:space="preserve">ASD test methodology (ML1-AH-03):
Load the Can You Block It? website in Microsoft Edge.
Load the Can You Block It? website in Google Chrome.
Load the Can You Block It? website in Mozilla Firefox.</t>
        </r>
      </text>
    </comment>
    <comment ref="C129" authorId="0">
      <text>
        <r>
          <rPr>
            <sz val="10"/>
            <rFont val="Arial"/>
            <family val="2"/>
          </rPr>
          <t xml:space="preserve">ASD test methodology (ML1-AH-04):
Check that group policy settings are configured for Microsoft Edge. Open the web browser configuration panel and look for existence of a ‘Managed by organisation’ message or similar. Attempt to change a security-related setting.
Check that group policy settings are configured for Google Chrome. Open the web browser configuration panel and look for existence of a ‘Managed by organisation’ message or similar. Attempt to change a security-related setting.
Check that group policy settings are configured for Mozilla Firefox. Open the web browser configuration panel and look for existence of a ‘Managed by organisation’ message or similar. Attempt to change a security-related setting.</t>
        </r>
      </text>
    </comment>
    <comment ref="C130" authorId="0">
      <text>
        <r>
          <rPr>
            <sz val="10"/>
            <rFont val="Arial"/>
            <family val="2"/>
          </rPr>
          <t xml:space="preserve">ASD test methodology (ML2-AH-01):
Use the Microsoft Policy Analyzer to validate the effective state of the system against the Microsoft Edge security baseline.
Determine if Google Chrome is configured via group policy settings and if the configured settings are in line with the Chrome Browser Enterprise Security Configuration Guide provided by Google at https://support.google.com/chrome/a/answer/9710898?hl=en.
In the absence of official Firefox hardening guidance from Mozilla, confirm what hardening has been performed by the organisation.</t>
        </r>
      </text>
    </comment>
    <comment ref="C131" authorId="0">
      <text>
        <r>
          <rPr>
            <sz val="10"/>
            <rFont val="Arial"/>
            <family val="2"/>
          </rPr>
          <t xml:space="preserve">ASD test methodology (ML2-AH-02):
Open a file that contains a Microsoft Office macro that will create a child process. Confirm it is unable to do this. Check the ASR rule ‘d4f940ab-401b-4efc-aadc-ad5f3c50688a’ is configured in block mode, or another solution is in place to prevent creation of child processes.
Running E8MVT will confirm if the ASR rule to prevent creation of child processes is enabled, or if child process creation has been blocked through a PowerShell command. Running E8MVT will execute the following test that opens a file containing a Microsoft Office macro that creates a child process.
$ASR_Rules = Get-MPPreference | Select -ExpandProperty AttackSurfaceReductionRules_Ids 
$match = $false
Foreach($rules in $ASR_Rules) {If ($rules -match "d4f940ab-401b-4efc-aadc-ad5f3c50688a") {$match = $true}}
If($match -eq $true) {Write-Output("Block all Office applications from creating child processes (d4f940ab-401b-4efc-aadc-ad5f3c50688a) is enabled")} else {Write-Output("Block all Office applications from creating child processes (d4f940ab-401b-4efc-aadc-ad5f3c50688a) is not present or disabled")}</t>
        </r>
      </text>
    </comment>
    <comment ref="C132" authorId="0">
      <text>
        <r>
          <rPr>
            <sz val="10"/>
            <rFont val="Arial"/>
            <family val="2"/>
          </rPr>
          <t xml:space="preserve">ASD test methodology (ML2-AH-03):
Open a file that contains a Microsoft Office macro that will create executable content. Confirm it is unable to do this. Check the ASR rule ‘3b576869-a4ec-4529-8536-b80a7769e899’ is configured in block mode, or another solution is in place to prevent creation of executable content.
Running E8MVT will confirm if the ASR rule to creation of executable content is enabled. Running E8MVT will execute the following test that opens a file containing a Microsoft Office macro that creates executable content.
$ASR_Rules = Get-MPPreference | Select -ExpandProperty AttackSurfaceReductionRules_Ids 
$match = $false
Foreach($rules in $ASR_Rules) {If ($rules -match "3b576869-a4ec-4529-8536-b80a7769e899") {$match = $true}}
If($match -eq $true) {Write-Output("Block Office applications from creating executable content (3b576869-a4ec-4529-8536-b80a7769e899) is enabled")} else {Write-Output("Block Office applications from creating executable content (3b576869-a4ec-4529-8536-b80a7769e899) is not present or disabled")}</t>
        </r>
      </text>
    </comment>
    <comment ref="C133" authorId="0">
      <text>
        <r>
          <rPr>
            <sz val="10"/>
            <rFont val="Arial"/>
            <family val="2"/>
          </rPr>
          <t xml:space="preserve">ASD test methodology (ML2-AH-04):
Open a file that contains a Microsoft Office macro that will inject code into another process. Confirm it is unable to do this. Check the ASR rule ‘75668C1F-73B5-4CF0-BB93-3ECF5CB7CC84’ is configured in block mode, or another solution is in place to prevent code injection.
Running E8MVT will confirm if the ASR rule to prevent injection of code into other processes is enabled. Running E8MVT will execute the following test that opens a file containing a Microsoft Office macro that will attempt to inject code into the explorer.exe process.
$ASR_Rules = Get-MPPreference | Select -ExpandProperty AttackSurfaceReductionRules_Ids 
$match = $false
Foreach($rules in $ASR_Rules) {If ($rules -match "75668C1F-73B5-4CF0-BB93-3ECF5CB7CC84") {$match = $true}}
If($match -eq $true) {Write-Output("Block Office applications from injecting code into other processes (75668C1F-73B5-4CF0-BB93-3ECF5CB7CC84) is enabled")} else {Write-Output("Block Office applications from injecting code into other processes (75668C1F-73B5-4CF0-BB93-3ECF5CB7CC84) is not present or disabled")}</t>
        </r>
      </text>
    </comment>
    <comment ref="C134" authorId="0">
      <text>
        <r>
          <rPr>
            <sz val="10"/>
            <rFont val="Arial"/>
            <family val="2"/>
          </rPr>
          <t xml:space="preserve">ASD test methodology (ML2-AH-05):
Open a file that contains an OLE object. Check the PackagerPrompt registry key within the Trust Center settings is set to 2. E8MVT will check the required registry key.
Alternatively, the following PowerShell command can be used.
Get-ItemProperty -Path "HKCU:\SOFTWARE\Microsoft\office\16.0\&lt;application&gt;\security\" | Select-Object -Property PackagerPrompt
For example: Get-ItemProperty -Path "HKCU:\SOFTWARE\Microsoft\office\16.0\excel\security\" | Select-Object -Property PackagerPrompt</t>
        </r>
      </text>
    </comment>
    <comment ref="C135" authorId="0">
      <text>
        <r>
          <rPr>
            <sz val="10"/>
            <rFont val="Arial"/>
            <family val="2"/>
          </rPr>
          <t xml:space="preserve">ASD test methodology (ML2-AH-06):
Use the Microsoft Policy Analyzer to validate the effective state of the system against the Microsoft Office security baseline.
For other office productivity suites, determine if suitable vendor hardening guidance is available. Alternatively, confirm what hardening has been performed by the organisation.</t>
        </r>
      </text>
    </comment>
    <comment ref="C136" authorId="0">
      <text>
        <r>
          <rPr>
            <sz val="10"/>
            <rFont val="Arial"/>
            <family val="2"/>
          </rPr>
          <t xml:space="preserve">ASD test methodology (ML2-AH-07):
Attempt to modify security settings in Microsoft Office applications. For example, check that the vbawarnings registry key is configured via policy and that a user is unable to change the Microsoft Office macro settings within the Trust Center options. E8MVT will check the required registry key.
Alternatively, the following PowerShell command can be used.
Get-ItemProperty -Path "HKCU:\SOFTWARE\Policies\Microsoft\office\16.0\&lt;application&gt;\security\" | Select-Object -Property vbawarnings
Example: Get-ItemProperty -Path "HKCU:\SOFTWARE\Policies\Microsoft\office\16.0\excel\security\" | Select-Object -Property vbawarnings</t>
        </r>
      </text>
    </comment>
    <comment ref="C137" authorId="0">
      <text>
        <r>
          <rPr>
            <sz val="10"/>
            <rFont val="Arial"/>
            <family val="2"/>
          </rPr>
          <t xml:space="preserve">ASD test methodology (ML2-AH-08):
Check the ASR rule ‘7674BA52-37EB-4A4F-A9A1-F0F9A1619A2C’ is configured in block mode.
Alternatively, Adobe Reader can be tested by opening the application, selecting Open from the File menu, selecting ‘All Files (*.*)’ from the dropdown menu in the corner, browsing to the system32 folder and selecting calc.exe to open.
Running E8MVT will confirm via the following test if the ASR rule to prevent creation of child processes is enabled.
$ASR_Rules = Get-MPPreference | Select -ExpandProperty AttackSurfaceReductionRules_Ids 
$match = $false
Foreach($rules in $ASR_Rules) {If ($rules -match "7674ba52-37eb-4a4f-a9a1-f0f9a1619a2c") {$match = $true}} 
If($match = $true) {Write-Output("Block Adobe Reader from creating child processes (7674ba52-37eb-4a4f-a9a1-f0f9a1619a2c) is enabled")} else {Write-Output("Block Adobe Reader from creating child processes (7674ba52-37eb-4a4f-a9a1-f0f9a1619a2c) is not present or disabled")}</t>
        </r>
      </text>
    </comment>
    <comment ref="C138" authorId="0">
      <text>
        <r>
          <rPr>
            <sz val="10"/>
            <rFont val="Arial"/>
            <family val="2"/>
          </rPr>
          <t xml:space="preserve">ASD test methodology (ML2-AH-09):
Determine the PDF software in use and if the vendor provides hardening guidance for that product. Follow the guidance to determine if the product has been hardened.
Adobe Acrobat and Adobe Reader hardening guidance can be found at https://www.adobe.com/devnet-docs/acrobatetk/tools/AppSec/index.html.</t>
        </r>
      </text>
    </comment>
    <comment ref="C139" authorId="0">
      <text>
        <r>
          <rPr>
            <sz val="10"/>
            <rFont val="Arial"/>
            <family val="2"/>
          </rPr>
          <t xml:space="preserve">ASD test methodology (ML2-AH-10):
Attempt to modify security settings within allowed PDF readers. For example, by disabling sandbox protections in Adobe Reader.</t>
        </r>
      </text>
    </comment>
    <comment ref="C140" authorId="0">
      <text>
        <r>
          <rPr>
            <sz val="10"/>
            <rFont val="Arial"/>
            <family val="2"/>
          </rPr>
          <t xml:space="preserve">ASD test methodology (ML2-AH-11):
E8MVT is able to check the registry settings for this control.
Alternatively, within the RSoP report, look for the Turn on Module Logging, Turn on PowerShell Script Block Logging and Turn on PowerShell Transcription settings at Computer Configuration\Policies\Administrative Templates\Windows Components\Windows PowerShell. They should all be enabled. In addition, module logging should ideally be configured to log all modules (i.e. ‘*’), although an organisation may tailor this setting.
Finally, determine if these event logs are being centrally stored.</t>
        </r>
      </text>
    </comment>
    <comment ref="C141" authorId="0">
      <text>
        <r>
          <rPr>
            <sz val="10"/>
            <rFont val="Arial"/>
            <family val="2"/>
          </rPr>
          <t xml:space="preserve">ASD test methodology (ML2-AH-12):
E8MVT is able to check the registry settings for this control.
Alternatively, within the RSoP report, look for the Audit Process Creation setting at Computer Configuration\Policies\Windows Settings\Security Settings\Advanced Audit Policy Configuration\Audit Policies\Detailed Tracking\. It should be enabled with a value of Success. In addition, look for the Include command line in process creation events setting at Computer Configuration\Policies\Administrative Templates\System\Audit Process Creation. It should be enabled.
Finally, determine if these event logs are being centrally stored.</t>
        </r>
      </text>
    </comment>
    <comment ref="C142" authorId="0">
      <text>
        <r>
          <rPr>
            <sz val="10"/>
            <rFont val="Arial"/>
            <family val="2"/>
          </rPr>
          <t xml:space="preserve">ASD test methodology (ML2-AH-13):
Verify unauthorised users are unable to modify or delete event logs.</t>
        </r>
      </text>
    </comment>
    <comment ref="C143" authorId="0">
      <text>
        <r>
          <rPr>
            <sz val="10"/>
            <rFont val="Arial"/>
            <family val="2"/>
          </rPr>
          <t xml:space="preserve">ASD test methodology (ML2-AH-14):
Verify the organisation has responded to a sign of compromise in an internet-facing server trigged by monitoring activities. This evidence will typically exist as support tickets, email correspondence or threat and risk assessments.</t>
        </r>
      </text>
    </comment>
    <comment ref="C144" authorId="0">
      <text>
        <r>
          <rPr>
            <sz val="10"/>
            <rFont val="Arial"/>
            <family val="2"/>
          </rPr>
          <t xml:space="preserve">ASD test methodology (ML2-AH-15):
Verify the organisation has identified a cyber security incident through the analysis of cyber security events. This evidence will typically exist as email correspondence.</t>
        </r>
      </text>
    </comment>
    <comment ref="C145" authorId="0">
      <text>
        <r>
          <rPr>
            <sz val="10"/>
            <rFont val="Arial"/>
            <family val="2"/>
          </rPr>
          <t xml:space="preserve">ASD test methodology (ML2-AH-16):
Verify that cyber security incidents are being reporting internally within the organisation. Identify that such reporting is occurring within a reasonable timeframe. This evidence will typically exist as email correspondence or formal briefing material.</t>
        </r>
      </text>
    </comment>
    <comment ref="C146" authorId="0">
      <text>
        <r>
          <rPr>
            <sz val="10"/>
            <rFont val="Arial"/>
            <family val="2"/>
          </rPr>
          <t xml:space="preserve">ASD test methodology (ML2-AH-17):
Verify that cyber security incidents are being reporting to ASD. Identify that such reporting is occurring within a reasonable timeframe. This evidence will typically exist as incident numbers provided by ASD for all reports submitted via ReportCyber.</t>
        </r>
      </text>
    </comment>
    <comment ref="C147" authorId="0">
      <text>
        <r>
          <rPr>
            <sz val="10"/>
            <rFont val="Arial"/>
            <family val="2"/>
          </rPr>
          <t xml:space="preserve">ASD test methodology (ML2-AH-18):
Verify that the organisation has an up-to-date cyber security incident response plan. It should accurately represent processes and procedures following in response to the last cyber security incident experienced by the organisation.</t>
        </r>
      </text>
    </comment>
    <comment ref="C148" authorId="0">
      <text>
        <r>
          <rPr>
            <sz val="10"/>
            <rFont val="Arial"/>
            <family val="2"/>
          </rPr>
          <t xml:space="preserve">ASD test methodology (ML3-AH-01):
Select the ‘Turn Windows Features on or off’ option from the Control Panel and confirm that .NET Framework (includes .NET 2.0 and 3.0) is not selected.
Check the registry keys below for the existence of older .NET Frameworks.
E8MVT will check this location to determine if older .NET Framework versions exist on the system.
Get-ChildItem -Path "HKLM:\SOFTWARE\Microsoft\NET Framework Setup\NDP"
Get-ChildItem -Path "HKLM:\Software\Microsoft\.NETFramework\Policy\"</t>
        </r>
      </text>
    </comment>
    <comment ref="C149" authorId="0">
      <text>
        <r>
          <rPr>
            <sz val="10"/>
            <rFont val="Arial"/>
            <family val="2"/>
          </rPr>
          <t xml:space="preserve">ASD test methodology (ML3-AH-02):
Select the ‘Turn Windows Features on or off’ option from the Control Panel and confirm that Windows PowerShell 2.0 is not selected.
Run the following PowerShell command Get-ChildItem "HKLM:\SOFTWARE\Microsoft" -Recurse -Include PowerShellEngine and confirm that version 2.0 is not found in the results.
The PowerShell command $PSVersionTable will display a list of supported PowerShell versions. Ensure that 2.0 and below is not part of this list. The command $PSVersionTable.PSVersion.Major can be used to confirm the running version.
E8MVT will check the described registry key to locate old PowerShell versions.
Get-ChildItem "HKLM:\SOFTWARE\Microsoft\Powershell" -Recurse -Include PowerShellEngine
Enter powershell -Version 2 into a PowerShell prompt to check if the system can be downgraded.</t>
        </r>
      </text>
    </comment>
    <comment ref="C150" authorId="0">
      <text>
        <r>
          <rPr>
            <sz val="10"/>
            <rFont val="Arial"/>
            <family val="2"/>
          </rPr>
          <t xml:space="preserve">ASD test methodology (ML3-AH-03):
Run $ExecutionContext.SessionState.LanguageMode in PowerShell to check if Constrained Language Mode is configured. If Constrained Language Mode is configured this should return ‘ConstrainedLanguage’.
E8MVT will not run if the system is configured for Constrained Language Mode.</t>
        </r>
      </text>
    </comment>
    <comment ref="C151" authorId="0">
      <text>
        <r>
          <rPr>
            <sz val="10"/>
            <rFont val="Arial"/>
            <family val="2"/>
          </rPr>
          <t xml:space="preserve">ASD test methodology (ML3-AH-04):
Verify the organisation has responded to a sign of compromise in a non-internet-facing server trigged by monitoring activities. This evidence will typically exist as support tickets, email correspondence or threat and risk assessments.</t>
        </r>
      </text>
    </comment>
    <comment ref="C152" authorId="0">
      <text>
        <r>
          <rPr>
            <sz val="10"/>
            <rFont val="Arial"/>
            <family val="2"/>
          </rPr>
          <t xml:space="preserve">ASD test methodology (ML3-AH-05):
Verify the organisation has responded to a sign of compromise in a workstation trigged by monitoring activities. This evidence will typically exist as support tickets, email correspondence or threat and risk assessments.</t>
        </r>
      </text>
    </comment>
    <comment ref="C154" authorId="0">
      <text>
        <r>
          <rPr>
            <sz val="10"/>
            <rFont val="Arial"/>
            <family val="2"/>
          </rPr>
          <t xml:space="preserve">ASD test methodology (ML1-RB-01):
Request the current business continuity plan (BCP). Note when the BCP was last modified as old BCPs often don’t reference the current environment. Confirm the organisation has a defined list of data, applications and settings.
Verify data, applications and settings are backed up and retained in accordance with business criticality and business continuity requirements.</t>
        </r>
      </text>
    </comment>
    <comment ref="C155" authorId="0">
      <text>
        <r>
          <rPr>
            <sz val="10"/>
            <rFont val="Arial"/>
            <family val="2"/>
          </rPr>
          <t xml:space="preserve">ASD test methodology (ML1-RB-02):
Verify data, applications and settings are backed up in a synchronised manner using a common point in time.</t>
        </r>
      </text>
    </comment>
    <comment ref="C156" authorId="0">
      <text>
        <r>
          <rPr>
            <sz val="10"/>
            <rFont val="Arial"/>
            <family val="2"/>
          </rPr>
          <t xml:space="preserve">ASD test methodology (ML1-RB-03):
Verify data, applications and settings are backed up and retained in a secure and resilient manner.</t>
        </r>
      </text>
    </comment>
    <comment ref="C157" authorId="0">
      <text>
        <r>
          <rPr>
            <sz val="10"/>
            <rFont val="Arial"/>
            <family val="2"/>
          </rPr>
          <t xml:space="preserve">ASD test methodology (ML1-RB-04):
Verify the organisation has conducted a disaster recovery exercise. Verify the organisation has successfully restored data, applications and settings as part of this exercise. Confirm the existence of a disaster recovery plan (DRP) and ensure it is appropriate, relevant and followed during major cyber security incidents and exercises.</t>
        </r>
      </text>
    </comment>
    <comment ref="C158" authorId="0">
      <text>
        <r>
          <rPr>
            <sz val="10"/>
            <rFont val="Arial"/>
            <family val="2"/>
          </rPr>
          <t xml:space="preserve">ASD test methodology (ML1-RB-05):
Verify access controls restrict access to backups to only the owner of the backup and privileged accounts.</t>
        </r>
      </text>
    </comment>
    <comment ref="C159" authorId="0">
      <text>
        <r>
          <rPr>
            <sz val="10"/>
            <rFont val="Arial"/>
            <family val="2"/>
          </rPr>
          <t xml:space="preserve">ASD test methodology (ML1-RB-06):
Verify access controls restrict the modification and deletion of backups to only privileged accounts.</t>
        </r>
      </text>
    </comment>
    <comment ref="C160" authorId="0">
      <text>
        <r>
          <rPr>
            <sz val="10"/>
            <rFont val="Arial"/>
            <family val="2"/>
          </rPr>
          <t xml:space="preserve">ASD test methodology (ML2-RB-01):
Verify access controls restrict the access of backups to the owner of the backup and backup administrator accounts.</t>
        </r>
      </text>
    </comment>
    <comment ref="C161" authorId="0">
      <text>
        <r>
          <rPr>
            <sz val="10"/>
            <rFont val="Arial"/>
            <family val="2"/>
          </rPr>
          <t xml:space="preserve">ASD test methodology (ML2-RB-02):
Verify access controls restrict the modification and deletion of backups to backup administrator accounts.</t>
        </r>
      </text>
    </comment>
    <comment ref="C162" authorId="0">
      <text>
        <r>
          <rPr>
            <sz val="10"/>
            <rFont val="Arial"/>
            <family val="2"/>
          </rPr>
          <t xml:space="preserve">ASD test methodology (ML3-RB-01):
Verify access controls restrict unprivileged users from accessing backups.</t>
        </r>
      </text>
    </comment>
    <comment ref="C163" authorId="0">
      <text>
        <r>
          <rPr>
            <sz val="10"/>
            <rFont val="Arial"/>
            <family val="2"/>
          </rPr>
          <t xml:space="preserve">ASD test methodology (ML3-RB-02):
Verify access controls restrict privileged users (excluding backup administrator accounts) from accessing backups.</t>
        </r>
      </text>
    </comment>
    <comment ref="C164" authorId="0">
      <text>
        <r>
          <rPr>
            <sz val="10"/>
            <rFont val="Arial"/>
            <family val="2"/>
          </rPr>
          <t xml:space="preserve">ASD test methodology (ML3-RB-03):
Verify access controls restrict the modification and deletion of backups during their retention period to only break glass accounts.</t>
        </r>
      </text>
    </comment>
  </commentList>
</comments>
</file>

<file path=xl/sharedStrings.xml><?xml version="1.0" encoding="utf-8"?>
<sst xmlns="http://schemas.openxmlformats.org/spreadsheetml/2006/main" count="864" uniqueCount="377">
  <si>
    <t xml:space="preserve">ESSENTIAL EIGHT</t>
  </si>
  <si>
    <t xml:space="preserve">Maturity Levels 1 to 3
Self-Assessment</t>
  </si>
  <si>
    <t xml:space="preserve">Pick your target level on Start Here. The assessment focuses on what applies.</t>
  </si>
  <si>
    <t xml:space="preserve">DIGITAL TACTICS  ·  digitaltactics.au</t>
  </si>
  <si>
    <t xml:space="preserve">Indicative self-assessment to support planning. Not a formal or independent ASD assessment; a maturity level should only be claimed where it can be independently evidenced. Provided as-is, without warranty. © Digital Tactics Pty Ltd. Aligned to the ASD Essential Eight Maturity Model (November 2023); requirement and test wording from the ASD Example assessment test plans, Maturity Levels One, Two and Three.</t>
  </si>
  <si>
    <t xml:space="preserve">Essential Eight Self-Assessment (Levels 1–3) — Start Here</t>
  </si>
  <si>
    <t xml:space="preserve">Your assessment details</t>
  </si>
  <si>
    <t xml:space="preserve">Organisation</t>
  </si>
  <si>
    <t xml:space="preserve">Assessed by</t>
  </si>
  <si>
    <t xml:space="preserve">Date of assessment</t>
  </si>
  <si>
    <t xml:space="preserve">Target maturity level</t>
  </si>
  <si>
    <t xml:space="preserve">← select 1, 2 or 3</t>
  </si>
  <si>
    <t xml:space="preserve">Framework</t>
  </si>
  <si>
    <t xml:space="preserve">ASD Essential Eight Maturity Model (November 2023)</t>
  </si>
  <si>
    <t xml:space="preserve">How to use this tool</t>
  </si>
  <si>
    <t xml:space="preserve">1.  Enter your details and choose your target maturity level (1, 2 or 3) above.</t>
  </si>
  <si>
    <t xml:space="preserve">2.  Open the Assessment tab. Requirements up to your target level are active; higher levels are greyed out. The Essential Eight is cumulative, so a Level 2 target covers Levels 1 and 2.</t>
  </si>
  <si>
    <t xml:space="preserve">3.  For each active test, set a Status, record Evidence / notes, and describe any Finding. Hover the requirement cell for the ASD test methodology.</t>
  </si>
  <si>
    <t xml:space="preserve">4.  Anything scored Not Met or Partially Met flows to the Action Plan automatically. The Dashboard shows the level you have achieved per control and your progress to target.</t>
  </si>
  <si>
    <t xml:space="preserve">5.  The Action Plan rebuilds itself into a gap-free list each time you score. Fill in owners, priorities and dates once your scoring is settled: if you change a score afterwards the list re-orders, and anything you typed in the action columns stays in its row rather than moving with the item.</t>
  </si>
  <si>
    <t xml:space="preserve">6.  Cells wrap text. To see a long note in full, drag the row border down to make the row taller (row heights are unlocked).</t>
  </si>
  <si>
    <t xml:space="preserve">Rating scale</t>
  </si>
  <si>
    <t xml:space="preserve">Met</t>
  </si>
  <si>
    <t xml:space="preserve">Requirement fully in place and evidenced.</t>
  </si>
  <si>
    <t xml:space="preserve">Partially Met</t>
  </si>
  <si>
    <t xml:space="preserve">Some elements in place; gaps remain. Generates an action.</t>
  </si>
  <si>
    <t xml:space="preserve">Not Met</t>
  </si>
  <si>
    <t xml:space="preserve">Requirement not in place. Generates an action.</t>
  </si>
  <si>
    <t xml:space="preserve">Not Applicable</t>
  </si>
  <si>
    <t xml:space="preserve">Does not apply to your environment (note why).</t>
  </si>
  <si>
    <t xml:space="preserve">Not Assessed</t>
  </si>
  <si>
    <t xml:space="preserve">Not yet reviewed (the starting value).</t>
  </si>
  <si>
    <t xml:space="preserve">Disclaimer</t>
  </si>
  <si>
    <t xml:space="preserve">Indicative self-assessment to help you understand your position and plan improvement. Not a formal or independent ASD assessment; a maturity level should only be claimed where it can be independently evidenced. Aligned to the ASD Essential Eight Maturity Model (November 2023); requirement and test methodology wording from the ASD Example assessment test plans (Maturity Levels One, Two and Three). Provided as-is, without warranty. For a formal assessment or help closing gaps, contact Digital Tactics.</t>
  </si>
  <si>
    <t xml:space="preserve">Assessment — Essential Eight (Levels 1–3)</t>
  </si>
  <si>
    <t xml:space="preserve">Greyed rows are above your target level. Hover a requirement for the ASD test methodology. Wording: ASD Example test plans (ML1–3).</t>
  </si>
  <si>
    <t xml:space="preserve">ASD Test ID</t>
  </si>
  <si>
    <t xml:space="preserve">Level</t>
  </si>
  <si>
    <t xml:space="preserve">Control description (requirement)</t>
  </si>
  <si>
    <t xml:space="preserve">Status</t>
  </si>
  <si>
    <t xml:space="preserve">Evidence / notes</t>
  </si>
  <si>
    <t xml:space="preserve">Finding (gap)</t>
  </si>
  <si>
    <t xml:space="preserve">CONTROL 1  ·  PATCH APPLICATIONS</t>
  </si>
  <si>
    <t xml:space="preserve">ML1-PA-01</t>
  </si>
  <si>
    <t xml:space="preserve">Level 1</t>
  </si>
  <si>
    <t xml:space="preserve">An automated method of asset discovery is used at least fortnightly to support the detection of assets for subsequent vulnerability scanning activities.</t>
  </si>
  <si>
    <t xml:space="preserve">Patch Applications</t>
  </si>
  <si>
    <t xml:space="preserve">ML1-PA-02</t>
  </si>
  <si>
    <t xml:space="preserve">A vulnerability scanner with an up-to-date vulnerability database is used for vulnerability scanning activities.</t>
  </si>
  <si>
    <t xml:space="preserve">ML1-PA-03</t>
  </si>
  <si>
    <t xml:space="preserve">A vulnerability scanner is used at least daily to identify missing patches or updates for vulnerabilities in online services.</t>
  </si>
  <si>
    <t xml:space="preserve">ML1-PA-04</t>
  </si>
  <si>
    <t xml:space="preserve">A vulnerability scanner is used at least weekly to identify missing patches or updates for vulnerabilities in office productivity suites, web browsers and their extensions, email clients, PDF software, and security products.</t>
  </si>
  <si>
    <t xml:space="preserve">ML1-PA-05</t>
  </si>
  <si>
    <t xml:space="preserve">Patches, updates or other vendor mitigations for vulnerabilities in online services are applied within 48 hours of release when vulnerabilities are assessed as critical by vendors or when working exploits exist.</t>
  </si>
  <si>
    <t xml:space="preserve">ML1-PA-06</t>
  </si>
  <si>
    <t xml:space="preserve">Patches, updates or other vendor mitigations for vulnerabilities in online services are applied within two weeks of release when vulnerabilities are assessed as non-critical by vendors and no working exploits exist.</t>
  </si>
  <si>
    <t xml:space="preserve">ML1-PA-07</t>
  </si>
  <si>
    <t xml:space="preserve">Patches, updates or other vendor mitigations for vulnerabilities in office productivity suites, web browsers and their extensions, email clients, PDF software, and security products are applied within two weeks of release.</t>
  </si>
  <si>
    <t xml:space="preserve">ML1-PA-08</t>
  </si>
  <si>
    <t xml:space="preserve">Online services that are no longer supported by vendors are removed.</t>
  </si>
  <si>
    <t xml:space="preserve">ML1-PA-09</t>
  </si>
  <si>
    <t xml:space="preserve">Office productivity suites, web browsers and their extensions, email clients, PDF software, Adobe Flash Player, and security products that are no longer supported by vendors are removed.</t>
  </si>
  <si>
    <t xml:space="preserve">ML2-PA-01</t>
  </si>
  <si>
    <t xml:space="preserve">Level 2</t>
  </si>
  <si>
    <t xml:space="preserve">A vulnerability scanner is used at least fortnightly to identify missing patches or updates for vulnerabilities in applications other than office productivity suites, web browsers and their extensions, email clients, PDF software, and security products.</t>
  </si>
  <si>
    <t xml:space="preserve">ML2-PA-02</t>
  </si>
  <si>
    <t xml:space="preserve">Patches, updates or other vendor mitigations for vulnerabilities in applications other than office productivity suites, web browsers and their extensions, email clients, PDF software, and security products are applied within one month of release.</t>
  </si>
  <si>
    <t xml:space="preserve">ML3-PA-01</t>
  </si>
  <si>
    <t xml:space="preserve">Level 3</t>
  </si>
  <si>
    <t xml:space="preserve">Patches, updates or other vendor mitigations for vulnerabilities in office productivity suites, web browsers and their extensions, email clients, PDF software, and security products are applied within 48 hours of release when vulnerabilities are assessed as critical by vendors or when working exploits exist.</t>
  </si>
  <si>
    <t xml:space="preserve">ML3-PA-02</t>
  </si>
  <si>
    <t xml:space="preserve">Patches, updates or other vendor mitigations for vulnerabilities in office productivity suites, web browsers and their extensions, email clients, PDF software, and security products are applied within two weeks of release when vulnerabilities are assessed as non-critical by vendors and no working exploits exist.</t>
  </si>
  <si>
    <t xml:space="preserve">ML3-PA-03</t>
  </si>
  <si>
    <t xml:space="preserve">Applications other than office productivity suites, web browsers and their extensions, email clients, PDF software, Adobe Flash Player, and security products that are no longer supported by vendors are removed.</t>
  </si>
  <si>
    <t xml:space="preserve">CONTROL 2  ·  PATCH OPERATING SYSTEMS</t>
  </si>
  <si>
    <t xml:space="preserve">ML1-PO-01</t>
  </si>
  <si>
    <t xml:space="preserve">Patch Operating Systems</t>
  </si>
  <si>
    <t xml:space="preserve">ML1-PO-02</t>
  </si>
  <si>
    <t xml:space="preserve">ML1-PO-03</t>
  </si>
  <si>
    <t xml:space="preserve">A vulnerability scanner is used at least daily to identify missing patches or updates for vulnerabilities in operating systems of internet-facing servers and internet-facing network devices.</t>
  </si>
  <si>
    <t xml:space="preserve">ML1-PO-04</t>
  </si>
  <si>
    <t xml:space="preserve">A vulnerability scanner is used at least fortnightly to identify missing patches or updates for vulnerabilities in operating systems of workstations, non-internet-facing servers and non-internet-facing network devices.</t>
  </si>
  <si>
    <t xml:space="preserve">ML1-PO-05</t>
  </si>
  <si>
    <t xml:space="preserve">Patches, updates or other vendor mitigations for vulnerabilities in operating systems of internet-facing servers and internet-facing network devices are applied within 48 hours of release when vulnerabilities are assessed as critical by vendors or when working exploits exist.</t>
  </si>
  <si>
    <t xml:space="preserve">ML1-PO-06</t>
  </si>
  <si>
    <t xml:space="preserve">Patches, updates or other vendor mitigations for vulnerabilities in operating systems of internet-facing servers and internet-facing network devices are applied within two weeks of release when vulnerabilities are assessed as non-critical by vendors and no working exploits exist.</t>
  </si>
  <si>
    <t xml:space="preserve">ML1-PO-07</t>
  </si>
  <si>
    <t xml:space="preserve">Patches, updates or other vendor mitigations for vulnerabilities in operating systems of workstations, non-internet-facing servers and non-internet-facing network devices are applied within one month of release.</t>
  </si>
  <si>
    <t xml:space="preserve">ML1-PO-08</t>
  </si>
  <si>
    <t xml:space="preserve">Operating systems that are no longer supported by vendors are replaced.</t>
  </si>
  <si>
    <t xml:space="preserve">ML3-PO-01</t>
  </si>
  <si>
    <t xml:space="preserve">A vulnerability scanner is used at least fortnightly to identify missing patches or updates for vulnerabilities in drivers.</t>
  </si>
  <si>
    <t xml:space="preserve">ML3-PO-02</t>
  </si>
  <si>
    <t xml:space="preserve">A vulnerability scanner is used at least fortnightly to identify missing patches or updates for vulnerabilities in firmware.</t>
  </si>
  <si>
    <t xml:space="preserve">ML3-PO-03</t>
  </si>
  <si>
    <t xml:space="preserve">Patches, updates or other vendor mitigations for vulnerabilities in operating systems of workstations, non-internet-facing servers and non-internet-facing network devices are applied within 48 hours of release when vulnerabilities are assessed as critical by vendors or when working exploits exist.</t>
  </si>
  <si>
    <t xml:space="preserve">ML3-PO-04</t>
  </si>
  <si>
    <t xml:space="preserve">Patches, updates or other vendor mitigations for vulnerabilities in operating systems of workstations, non-internet-facing servers and non-internet-facing network devices are applied within one month of release when vulnerabilities are assessed as non-critical by vendors and no working exploits exist.</t>
  </si>
  <si>
    <t xml:space="preserve">ML3-PO-05</t>
  </si>
  <si>
    <t xml:space="preserve">Patches, updates or other vendor mitigations for vulnerabilities in drivers are applied within 48 hours of release when vulnerabilities are assessed as critical by vendors or when working exploits exist.</t>
  </si>
  <si>
    <t xml:space="preserve">ML3-PO-06</t>
  </si>
  <si>
    <t xml:space="preserve">Patches, updates or other vendor mitigations for vulnerabilities in drivers are applied within one month of release when vulnerabilities are assessed as non-critical by vendors and no working exploits exist.</t>
  </si>
  <si>
    <t xml:space="preserve">ML3-PO-07</t>
  </si>
  <si>
    <t xml:space="preserve">Patches, updates or other vendor mitigations for vulnerabilities in firmware are applied within 48 hours of release when vulnerabilities are assessed as critical by vendors or when working exploits exist.</t>
  </si>
  <si>
    <t xml:space="preserve">ML3-PO-08</t>
  </si>
  <si>
    <t xml:space="preserve">Patches, updates or other vendor mitigations for vulnerabilities in firmware are applied within one month of release when vulnerabilities are assessed as non-critical by vendors and no working exploits exist.</t>
  </si>
  <si>
    <t xml:space="preserve">ML3-PO-09</t>
  </si>
  <si>
    <t xml:space="preserve">The latest release, or the previous release, of operating systems are used.</t>
  </si>
  <si>
    <t xml:space="preserve">CONTROL 3  ·  MULTI-FACTOR AUTHENTICATION</t>
  </si>
  <si>
    <t xml:space="preserve">ML1-MF-01</t>
  </si>
  <si>
    <t xml:space="preserve">Multi-factor authentication is used to authenticate users to their organisation’s online services that process, store or communicate their organisation’s sensitive data.</t>
  </si>
  <si>
    <t xml:space="preserve">Multi-Factor Authentication</t>
  </si>
  <si>
    <t xml:space="preserve">ML1-MF-02</t>
  </si>
  <si>
    <t xml:space="preserve">Multi-factor authentication is used to authenticate users to third-party online services that process, store or communicate their organisation’s sensitive data.</t>
  </si>
  <si>
    <t xml:space="preserve">ML1-MF-03</t>
  </si>
  <si>
    <t xml:space="preserve">Multi-factor authentication (where available) is used to authenticate users to third-party online services that process, store or communicate their organisation’s non-sensitive data.</t>
  </si>
  <si>
    <t xml:space="preserve">ML1-MF-04</t>
  </si>
  <si>
    <t xml:space="preserve">Multi-factor authentication is used to authenticate users to their organisation’s online customer services that process, store or communicate their organisation’s sensitive customer data.</t>
  </si>
  <si>
    <t xml:space="preserve">ML1-MF-05</t>
  </si>
  <si>
    <t xml:space="preserve">Multi-factor authentication is used to authenticate users to third-party online customer services that process, store or communicate their organisation’s sensitive customer data.</t>
  </si>
  <si>
    <t xml:space="preserve">ML1-MF-06</t>
  </si>
  <si>
    <t xml:space="preserve">Multi-factor authentication is used to authenticate customers to online customer services that process, store or communicate sensitive customer data.</t>
  </si>
  <si>
    <t xml:space="preserve">ML1-MF-07</t>
  </si>
  <si>
    <t xml:space="preserve">Multi-factor authentication uses either: something users have and something users know, or something users have that is unlocked by something users know or are.</t>
  </si>
  <si>
    <t xml:space="preserve">ML2-MF-01</t>
  </si>
  <si>
    <t xml:space="preserve">Multi-factor authentication is used to authenticate privileged users of systems.</t>
  </si>
  <si>
    <t xml:space="preserve">ML2-MF-02</t>
  </si>
  <si>
    <t xml:space="preserve">Multi-factor authentication is used to authenticate unprivileged users of systems.</t>
  </si>
  <si>
    <t xml:space="preserve">ML2-MF-03</t>
  </si>
  <si>
    <t xml:space="preserve">Multi-factor authentication used for authenticating users of online services is phishing-resistant.</t>
  </si>
  <si>
    <t xml:space="preserve">ML2-MF-04</t>
  </si>
  <si>
    <t xml:space="preserve">Multi-factor authentication used for authenticating customers of online customer services provides a phishing-resistant option.</t>
  </si>
  <si>
    <t xml:space="preserve">ML2-MF-05</t>
  </si>
  <si>
    <t xml:space="preserve">Multi-factor authentication used for authenticating users of systems is phishing-resistant.</t>
  </si>
  <si>
    <t xml:space="preserve">ML2-MF-06</t>
  </si>
  <si>
    <t xml:space="preserve">Successful and unsuccessful multi-factor authentication events are centrally logged.</t>
  </si>
  <si>
    <t xml:space="preserve">ML2-MF-07</t>
  </si>
  <si>
    <t xml:space="preserve">Event logs are protected from unauthorised modification and deletion.</t>
  </si>
  <si>
    <t xml:space="preserve">ML2-MF-08</t>
  </si>
  <si>
    <t xml:space="preserve">Event logs from internet-facing servers are analysed in a timely manner to detect cyber security events.</t>
  </si>
  <si>
    <t xml:space="preserve">ML2-MF-09</t>
  </si>
  <si>
    <t xml:space="preserve">Cyber security events are analysed in a timely manner to identify cyber security incidents.</t>
  </si>
  <si>
    <t xml:space="preserve">ML2-MF-10</t>
  </si>
  <si>
    <t xml:space="preserve">Cyber security incidents are reported to the chief information security officer, or one of their delegates, as soon as possible after they occur or are discovered.</t>
  </si>
  <si>
    <t xml:space="preserve">ML2-MF-11</t>
  </si>
  <si>
    <t xml:space="preserve">Cyber security incidents are reported to ASD as soon as possible after they occur or are discovered.</t>
  </si>
  <si>
    <t xml:space="preserve">ML2-MF-12</t>
  </si>
  <si>
    <t xml:space="preserve">Following the identification of a cyber security incident, the cyber security incident response plan is enacted.</t>
  </si>
  <si>
    <t xml:space="preserve">ML3-MF-01</t>
  </si>
  <si>
    <t xml:space="preserve">Multi-factor authentication is used to authenticate users of data repositories.</t>
  </si>
  <si>
    <t xml:space="preserve">ML3-MF-02</t>
  </si>
  <si>
    <t xml:space="preserve">Multi-factor authentication used for authenticating customers of online customer services is phishing-resistant.</t>
  </si>
  <si>
    <t xml:space="preserve">ML3-MF-03</t>
  </si>
  <si>
    <t xml:space="preserve">Multi-factor authentication used for authenticating users of data repositories is phishing-resistant.</t>
  </si>
  <si>
    <t xml:space="preserve">ML3-MF-04</t>
  </si>
  <si>
    <t xml:space="preserve">Event logs from non-internet-facing servers are analysed in a timely manner to detect cyber security events.</t>
  </si>
  <si>
    <t xml:space="preserve">ML3-MF-05</t>
  </si>
  <si>
    <t xml:space="preserve">Event logs from workstations are analysed in a timely manner to detect cyber security events.</t>
  </si>
  <si>
    <t xml:space="preserve">CONTROL 4  ·  RESTRICT ADMIN PRIVILEGES</t>
  </si>
  <si>
    <t xml:space="preserve">ML1-RA-01</t>
  </si>
  <si>
    <t xml:space="preserve">Requests for privileged access to systems, applications and data repositories are validated when first requested.</t>
  </si>
  <si>
    <t xml:space="preserve">Restrict Admin Privileges</t>
  </si>
  <si>
    <t xml:space="preserve">ML1-RA-02</t>
  </si>
  <si>
    <t xml:space="preserve">Privileged users are assigned a dedicated privileged account to be used solely for duties requiring privileged access.</t>
  </si>
  <si>
    <t xml:space="preserve">ML1-RA-03</t>
  </si>
  <si>
    <t xml:space="preserve">Privileged accounts (excluding those explicitly authorised to access online services) are prevented from accessing the internet, email and web services.</t>
  </si>
  <si>
    <t xml:space="preserve">ML1-RA-04</t>
  </si>
  <si>
    <t xml:space="preserve">Privileged accounts explicitly authorised to access online services are strictly limited to only what is required for users and services to undertake their duties.</t>
  </si>
  <si>
    <t xml:space="preserve">ML1-RA-05</t>
  </si>
  <si>
    <t xml:space="preserve">Privileged users use separate privileged and unprivileged operating environments.</t>
  </si>
  <si>
    <t xml:space="preserve">ML1-RA-06</t>
  </si>
  <si>
    <t xml:space="preserve">Unprivileged accounts cannot logon to privileged operating environments.</t>
  </si>
  <si>
    <t xml:space="preserve">ML1-RA-07</t>
  </si>
  <si>
    <t xml:space="preserve">Privileged accounts (excluding local administrator accounts) cannot logon to unprivileged operating environments.</t>
  </si>
  <si>
    <t xml:space="preserve">ML2-RA-01</t>
  </si>
  <si>
    <t xml:space="preserve">Privileged access to systems, applications and data repositories is disabled after 12 months unless revalidated.</t>
  </si>
  <si>
    <t xml:space="preserve">ML2-RA-02</t>
  </si>
  <si>
    <t xml:space="preserve">Privileged access to systems and applications is disabled after 45 days of inactivity.</t>
  </si>
  <si>
    <t xml:space="preserve">ML2-RA-03</t>
  </si>
  <si>
    <t xml:space="preserve">Privileged operating environments are not virtualised within unprivileged operating environments.</t>
  </si>
  <si>
    <t xml:space="preserve">ML2-RA-04</t>
  </si>
  <si>
    <t xml:space="preserve">Administrative activities are conducted through jump servers.</t>
  </si>
  <si>
    <t xml:space="preserve">ML2-RA-05</t>
  </si>
  <si>
    <t xml:space="preserve">Credentials for break glass accounts, local administrator accounts and service accounts are long, unique, unpredictable and managed.</t>
  </si>
  <si>
    <t xml:space="preserve">ML2-RA-06</t>
  </si>
  <si>
    <t xml:space="preserve">Privileged access events are centrally logged.</t>
  </si>
  <si>
    <t xml:space="preserve">ML2-RA-07</t>
  </si>
  <si>
    <t xml:space="preserve">Privileged account and group management events are centrally logged.</t>
  </si>
  <si>
    <t xml:space="preserve">ML2-RA-08</t>
  </si>
  <si>
    <t xml:space="preserve">ML2-RA-09</t>
  </si>
  <si>
    <t xml:space="preserve">ML2-RA-10</t>
  </si>
  <si>
    <t xml:space="preserve">ML2-RA-11</t>
  </si>
  <si>
    <t xml:space="preserve">ML2-RA-12</t>
  </si>
  <si>
    <t xml:space="preserve">ML2-RA-13</t>
  </si>
  <si>
    <t xml:space="preserve">ML3-RA-01</t>
  </si>
  <si>
    <t xml:space="preserve">Privileged access to systems, applications and data repositories is limited to only what is required for users and services to undertake their duties.</t>
  </si>
  <si>
    <t xml:space="preserve">ML3-RA-02</t>
  </si>
  <si>
    <t xml:space="preserve">Secure Admin Workstations are used in the performance of administrative activities.</t>
  </si>
  <si>
    <t xml:space="preserve">ML3-RA-03</t>
  </si>
  <si>
    <t xml:space="preserve">Just-in-time administration is used for administering systems and applications.</t>
  </si>
  <si>
    <t xml:space="preserve">ML3-RA-04</t>
  </si>
  <si>
    <t xml:space="preserve">Memory integrity functionality is enabled.</t>
  </si>
  <si>
    <t xml:space="preserve">ML3-RA-05</t>
  </si>
  <si>
    <t xml:space="preserve">Local Security Authority protection functionality is enabled.</t>
  </si>
  <si>
    <t xml:space="preserve">ML3-RA-06</t>
  </si>
  <si>
    <t xml:space="preserve">Credential Guard functionality is enabled.</t>
  </si>
  <si>
    <t xml:space="preserve">ML3-RA-07</t>
  </si>
  <si>
    <t xml:space="preserve">Remote Credential Guard functionality is enabled.</t>
  </si>
  <si>
    <t xml:space="preserve">ML3-RA-08</t>
  </si>
  <si>
    <t xml:space="preserve">ML3-RA-09</t>
  </si>
  <si>
    <t xml:space="preserve">CONTROL 5  ·  APPLICATION CONTROL</t>
  </si>
  <si>
    <t xml:space="preserve">ML1-AC-01</t>
  </si>
  <si>
    <t xml:space="preserve">Application control is implemented on workstations.</t>
  </si>
  <si>
    <t xml:space="preserve">Application Control</t>
  </si>
  <si>
    <t xml:space="preserve">ML1-AC-02</t>
  </si>
  <si>
    <t xml:space="preserve">Application control is applied to user profiles and temporary folders used by operating systems, web browsers and email clients.</t>
  </si>
  <si>
    <t xml:space="preserve">ML1-AC-03</t>
  </si>
  <si>
    <t xml:space="preserve">Application control restricts the execution of executables, software libraries, scripts, installers, compiled HTML, HTML applications and control panel applets to an organisation-approved set.</t>
  </si>
  <si>
    <t xml:space="preserve">ML2-AC-01</t>
  </si>
  <si>
    <t xml:space="preserve">Application control is implemented on internet-facing servers.</t>
  </si>
  <si>
    <t xml:space="preserve">ML2-AC-02</t>
  </si>
  <si>
    <t xml:space="preserve">Application control is applied to all locations other than user profiles and temporary folders used by operating systems, web browsers and email clients.</t>
  </si>
  <si>
    <t xml:space="preserve">ML2-AC-03</t>
  </si>
  <si>
    <t xml:space="preserve">Microsoft’s recommended application blocklist is implemented.</t>
  </si>
  <si>
    <t xml:space="preserve">ML2-AC-04</t>
  </si>
  <si>
    <t xml:space="preserve">Application control rulesets are validated on an annual or more frequent basis.</t>
  </si>
  <si>
    <t xml:space="preserve">ML2-AC-05</t>
  </si>
  <si>
    <t xml:space="preserve">Allowed and blocked application control events are centrally logged.</t>
  </si>
  <si>
    <t xml:space="preserve">ML2-AC-06</t>
  </si>
  <si>
    <t xml:space="preserve">ML2-AC-07</t>
  </si>
  <si>
    <t xml:space="preserve">ML2-AC-08</t>
  </si>
  <si>
    <t xml:space="preserve">ML2-AC-09</t>
  </si>
  <si>
    <t xml:space="preserve">ML2-AC-10</t>
  </si>
  <si>
    <t xml:space="preserve">ML2-AC-11</t>
  </si>
  <si>
    <t xml:space="preserve">ML3-AC-01</t>
  </si>
  <si>
    <t xml:space="preserve">Application control is implemented on non-internet-facing servers.</t>
  </si>
  <si>
    <t xml:space="preserve">ML3-AC-02</t>
  </si>
  <si>
    <t xml:space="preserve">Application control restricts the execution of drivers to an organisation-approved set.</t>
  </si>
  <si>
    <t xml:space="preserve">ML3-AC-03</t>
  </si>
  <si>
    <t xml:space="preserve">Microsoft’s vulnerable driver blocklist is implemented.</t>
  </si>
  <si>
    <t xml:space="preserve">ML3-AC-04</t>
  </si>
  <si>
    <t xml:space="preserve">ML3-AC-05</t>
  </si>
  <si>
    <t xml:space="preserve">CONTROL 6  ·  RESTRICT OFFICE MACROS</t>
  </si>
  <si>
    <t xml:space="preserve">ML1-RM-01</t>
  </si>
  <si>
    <t xml:space="preserve">Microsoft Office macros are disabled for users that do not have a demonstrated business requirement.</t>
  </si>
  <si>
    <t xml:space="preserve">Restrict Office Macros</t>
  </si>
  <si>
    <t xml:space="preserve">ML1-RM-02</t>
  </si>
  <si>
    <t xml:space="preserve">Microsoft Office macros in files originating from the internet are blocked.</t>
  </si>
  <si>
    <t xml:space="preserve">ML1-RM-03</t>
  </si>
  <si>
    <t xml:space="preserve">Microsoft Office macro antivirus scanning is enabled.</t>
  </si>
  <si>
    <t xml:space="preserve">ML1-RM-04</t>
  </si>
  <si>
    <t xml:space="preserve">Microsoft Office macro security settings cannot be changed by users.</t>
  </si>
  <si>
    <t xml:space="preserve">ML2-RM-01</t>
  </si>
  <si>
    <t xml:space="preserve">Microsoft Office macros are blocked from making Win32 API calls.</t>
  </si>
  <si>
    <t xml:space="preserve">ML3-RM-01</t>
  </si>
  <si>
    <t xml:space="preserve">Only Microsoft Office macros running from within a sandboxed environment, a Trusted Location or that are digitally signed by a trusted publisher are allowed to execute.</t>
  </si>
  <si>
    <t xml:space="preserve">ML3-RM-02</t>
  </si>
  <si>
    <t xml:space="preserve">Microsoft Office macros are checked to ensure they are free of malicious code before being digitally signed or placed within Trusted Locations.</t>
  </si>
  <si>
    <t xml:space="preserve">ML3-RM-03</t>
  </si>
  <si>
    <t xml:space="preserve">Only privileged users responsible for checking that Microsoft Office macros are free of malicious code can write to and modify content within Trusted Locations.</t>
  </si>
  <si>
    <t xml:space="preserve">ML3-RM-04</t>
  </si>
  <si>
    <t xml:space="preserve">Microsoft Office macros digitally signed by an untrusted publisher cannot be enabled via the Message Bar or Backstage View.</t>
  </si>
  <si>
    <t xml:space="preserve">ML3-RM-05</t>
  </si>
  <si>
    <t xml:space="preserve">Microsoft Office macros digitally signed by signatures other than V3 signatures cannot be enabled via the Message Bar or Backstage View.</t>
  </si>
  <si>
    <t xml:space="preserve">ML3-RM-06</t>
  </si>
  <si>
    <t xml:space="preserve">Microsoft Office’s list of trusted publishers is validated on an annual or more frequent basis.</t>
  </si>
  <si>
    <t xml:space="preserve">CONTROL 7  ·  USER APPLICATION HARDENING</t>
  </si>
  <si>
    <t xml:space="preserve">ML1-AH-01</t>
  </si>
  <si>
    <t xml:space="preserve">Internet Explorer 11 is disabled or removed.</t>
  </si>
  <si>
    <t xml:space="preserve">User Application Hardening</t>
  </si>
  <si>
    <t xml:space="preserve">ML1-AH-02</t>
  </si>
  <si>
    <t xml:space="preserve">Web browsers do not process Java from the internet.</t>
  </si>
  <si>
    <t xml:space="preserve">ML1-AH-03</t>
  </si>
  <si>
    <t xml:space="preserve">Web browsers do not process web advertisements from the internet.</t>
  </si>
  <si>
    <t xml:space="preserve">ML1-AH-04</t>
  </si>
  <si>
    <t xml:space="preserve">Web browser security settings cannot be changed by users.</t>
  </si>
  <si>
    <t xml:space="preserve">ML2-AH-01</t>
  </si>
  <si>
    <t xml:space="preserve">Web browsers are hardened using ASD and vendor hardening guidance, with the most restrictive guidance taking precedence when conflicts occur.</t>
  </si>
  <si>
    <t xml:space="preserve">ML2-AH-02</t>
  </si>
  <si>
    <t xml:space="preserve">Microsoft Office is blocked from creating child processes.</t>
  </si>
  <si>
    <t xml:space="preserve">ML2-AH-03</t>
  </si>
  <si>
    <t xml:space="preserve">Microsoft Office is blocked from creating executable content.</t>
  </si>
  <si>
    <t xml:space="preserve">ML2-AH-04</t>
  </si>
  <si>
    <t xml:space="preserve">Microsoft Office is blocked from injecting code into other processes.</t>
  </si>
  <si>
    <t xml:space="preserve">ML2-AH-05</t>
  </si>
  <si>
    <t xml:space="preserve">Microsoft Office is configured to prevent activation of Object Linking and Embedding packages.</t>
  </si>
  <si>
    <t xml:space="preserve">ML2-AH-06</t>
  </si>
  <si>
    <t xml:space="preserve">Office productivity suites are hardened using ASD and vendor hardening guidance, with the most restrictive guidance taking precedence when conflicts occur.</t>
  </si>
  <si>
    <t xml:space="preserve">ML2-AH-07</t>
  </si>
  <si>
    <t xml:space="preserve">Office productivity suite security settings cannot be changed by users.</t>
  </si>
  <si>
    <t xml:space="preserve">ML2-AH-08</t>
  </si>
  <si>
    <t xml:space="preserve">PDF software is blocked from creating child processes.</t>
  </si>
  <si>
    <t xml:space="preserve">ML2-AH-09</t>
  </si>
  <si>
    <t xml:space="preserve">PDF software is hardened using ASD and vendor hardening guidance, with the most restrictive guidance taking precedence when conflicts occur.</t>
  </si>
  <si>
    <t xml:space="preserve">ML2-AH-10</t>
  </si>
  <si>
    <t xml:space="preserve">PDF software security settings cannot be changed by users.</t>
  </si>
  <si>
    <t xml:space="preserve">ML2-AH-11</t>
  </si>
  <si>
    <t xml:space="preserve">PowerShell module logging, script block logging and transcription events are centrally logged.</t>
  </si>
  <si>
    <t xml:space="preserve">ML2-AH-12</t>
  </si>
  <si>
    <t xml:space="preserve">Command line process creation events are centrally logged.</t>
  </si>
  <si>
    <t xml:space="preserve">ML2-AH-13</t>
  </si>
  <si>
    <t xml:space="preserve">ML2-AH-14</t>
  </si>
  <si>
    <t xml:space="preserve">ML2-AH-15</t>
  </si>
  <si>
    <t xml:space="preserve">ML2-AH-16</t>
  </si>
  <si>
    <t xml:space="preserve">ML2-AH-17</t>
  </si>
  <si>
    <t xml:space="preserve">ML2-AH-18</t>
  </si>
  <si>
    <t xml:space="preserve">ML3-AH-01</t>
  </si>
  <si>
    <t xml:space="preserve">.NET Framework 3.5 (includes .NET 2.0 and 3.0) is disabled or removed.</t>
  </si>
  <si>
    <t xml:space="preserve">ML3-AH-02</t>
  </si>
  <si>
    <t xml:space="preserve">Windows PowerShell 2.0 is disabled or removed.</t>
  </si>
  <si>
    <t xml:space="preserve">ML3-AH-03</t>
  </si>
  <si>
    <t xml:space="preserve">PowerShell is configured to use Constrained Language Mode.</t>
  </si>
  <si>
    <t xml:space="preserve">ML3-AH-04</t>
  </si>
  <si>
    <t xml:space="preserve">ML3-AH-05</t>
  </si>
  <si>
    <t xml:space="preserve">CONTROL 8  ·  REGULAR BACKUPS</t>
  </si>
  <si>
    <t xml:space="preserve">ML1-RB-01</t>
  </si>
  <si>
    <t xml:space="preserve">Backups of data, applications and settings are performed and retained in accordance with business criticality and business continuity requirements.</t>
  </si>
  <si>
    <t xml:space="preserve">Regular Backups</t>
  </si>
  <si>
    <t xml:space="preserve">ML1-RB-02</t>
  </si>
  <si>
    <t xml:space="preserve">Backups of data, applications and settings are synchronised to enable restoration to a common point in time.</t>
  </si>
  <si>
    <t xml:space="preserve">ML1-RB-03</t>
  </si>
  <si>
    <t xml:space="preserve">Backups of data, applications and settings are retained in a secure and resilient manner.</t>
  </si>
  <si>
    <t xml:space="preserve">ML1-RB-04</t>
  </si>
  <si>
    <t xml:space="preserve">Restoration of data, applications and settings from backups to a common point in time is tested as part of disaster recovery exercises.</t>
  </si>
  <si>
    <t xml:space="preserve">ML1-RB-05</t>
  </si>
  <si>
    <t xml:space="preserve">Unprivileged accounts cannot access backups belonging to other accounts.</t>
  </si>
  <si>
    <t xml:space="preserve">ML1-RB-06</t>
  </si>
  <si>
    <t xml:space="preserve">Unprivileged accounts are prevented from modifying and deleting backups.</t>
  </si>
  <si>
    <t xml:space="preserve">ML2-RB-01</t>
  </si>
  <si>
    <t xml:space="preserve">Privileged accounts (excluding backup administrator accounts) cannot access backups belonging to other accounts.</t>
  </si>
  <si>
    <t xml:space="preserve">ML2-RB-02</t>
  </si>
  <si>
    <t xml:space="preserve">Privileged accounts (excluding backup administrator accounts) are prevented from modifying and deleting backups.</t>
  </si>
  <si>
    <t xml:space="preserve">ML3-RB-01</t>
  </si>
  <si>
    <t xml:space="preserve">Unprivileged accounts cannot access their own backups.</t>
  </si>
  <si>
    <t xml:space="preserve">ML3-RB-02</t>
  </si>
  <si>
    <t xml:space="preserve">Privileged accounts (excluding backup administrator accounts) cannot access their own backups.</t>
  </si>
  <si>
    <t xml:space="preserve">ML3-RB-03</t>
  </si>
  <si>
    <t xml:space="preserve">Backup administrator accounts are prevented from modifying and deleting backups during their retention period.</t>
  </si>
  <si>
    <t xml:space="preserve">Action Plan — corrective actions to closure</t>
  </si>
  <si>
    <t xml:space="preserve">A packed list of every item scored Not Met or Partially Met, newest scoring rebuilds it automatically. Complete the unshaded columns and track to Complete.</t>
  </si>
  <si>
    <t xml:space="preserve">Items needing action  ▸</t>
  </si>
  <si>
    <t xml:space="preserve">(score items Not Met or Partially Met on the Assessment to populate; the list packs to the top)</t>
  </si>
  <si>
    <t xml:space="preserve">Ref</t>
  </si>
  <si>
    <t xml:space="preserve">Control</t>
  </si>
  <si>
    <t xml:space="preserve">Requirement</t>
  </si>
  <si>
    <t xml:space="preserve">Assessment</t>
  </si>
  <si>
    <t xml:space="preserve">Corrective action</t>
  </si>
  <si>
    <t xml:space="preserve">Priority</t>
  </si>
  <si>
    <t xml:space="preserve">Owner</t>
  </si>
  <si>
    <t xml:space="preserve">Target</t>
  </si>
  <si>
    <t xml:space="preserve">Completed</t>
  </si>
  <si>
    <t xml:space="preserve">Action status</t>
  </si>
  <si>
    <t xml:space="preserve">Notes</t>
  </si>
  <si>
    <t xml:space="preserve">Essential Eight — Maturity Self-Assessment</t>
  </si>
  <si>
    <t xml:space="preserve">▢  Insert your
organisation logo</t>
  </si>
  <si>
    <t xml:space="preserve">Maturity by control</t>
  </si>
  <si>
    <t xml:space="preserve">Progress to target</t>
  </si>
  <si>
    <t xml:space="preserve">Achieved</t>
  </si>
  <si>
    <t xml:space="preserve">Tests met</t>
  </si>
  <si>
    <t xml:space="preserve">vs target</t>
  </si>
  <si>
    <t xml:space="preserve">In-scope tests</t>
  </si>
  <si>
    <t xml:space="preserve">Achieved level</t>
  </si>
  <si>
    <t xml:space="preserve">1. Patch Applications</t>
  </si>
  <si>
    <t xml:space="preserve">2. Patch Operating Systems</t>
  </si>
  <si>
    <t xml:space="preserve">3. Multi-Factor Authentication</t>
  </si>
  <si>
    <t xml:space="preserve">4. Restrict Admin Privileges</t>
  </si>
  <si>
    <t xml:space="preserve">5. Application Control</t>
  </si>
  <si>
    <t xml:space="preserve">% in-scope met</t>
  </si>
  <si>
    <t xml:space="preserve">6. Restrict Office Macros</t>
  </si>
  <si>
    <t xml:space="preserve">7. User Application Hardening</t>
  </si>
  <si>
    <t xml:space="preserve">Remediation</t>
  </si>
  <si>
    <t xml:space="preserve">8. Regular Backups</t>
  </si>
  <si>
    <t xml:space="preserve">Actions raised</t>
  </si>
  <si>
    <t xml:space="preserve">Complete</t>
  </si>
  <si>
    <t xml:space="preserve">Critical still open</t>
  </si>
  <si>
    <t xml:space="preserve">% actions complete</t>
  </si>
</sst>
</file>

<file path=xl/styles.xml><?xml version="1.0" encoding="utf-8"?>
<styleSheet xmlns="http://schemas.openxmlformats.org/spreadsheetml/2006/main">
  <numFmts count="2">
    <numFmt numFmtId="164" formatCode="General"/>
    <numFmt numFmtId="165" formatCode="dd\ mmm\ yyyy"/>
  </numFmts>
  <fonts count="39">
    <font>
      <sz val="11"/>
      <color theme="1"/>
      <name val="Calibri"/>
      <family val="2"/>
      <charset val="1"/>
    </font>
    <font>
      <sz val="10"/>
      <name val="Arial"/>
      <family val="0"/>
    </font>
    <font>
      <sz val="10"/>
      <name val="Arial"/>
      <family val="0"/>
    </font>
    <font>
      <sz val="10"/>
      <name val="Arial"/>
      <family val="0"/>
    </font>
    <font>
      <b val="true"/>
      <sz val="13"/>
      <color rgb="FFD8A541"/>
      <name val="Calibri"/>
      <family val="0"/>
      <charset val="1"/>
    </font>
    <font>
      <b val="true"/>
      <sz val="21"/>
      <color rgb="FFFFFFFF"/>
      <name val="Calibri"/>
      <family val="0"/>
      <charset val="1"/>
    </font>
    <font>
      <sz val="10.5"/>
      <color rgb="FFBCD2E8"/>
      <name val="Calibri"/>
      <family val="0"/>
      <charset val="1"/>
    </font>
    <font>
      <b val="true"/>
      <sz val="10"/>
      <color rgb="FFD8A541"/>
      <name val="Calibri"/>
      <family val="0"/>
      <charset val="1"/>
    </font>
    <font>
      <b val="true"/>
      <sz val="12"/>
      <color rgb="FF231A05"/>
      <name val="Calibri"/>
      <family val="0"/>
      <charset val="1"/>
    </font>
    <font>
      <i val="true"/>
      <sz val="8.5"/>
      <color rgb="FFBCD2E8"/>
      <name val="Calibri"/>
      <family val="0"/>
      <charset val="1"/>
    </font>
    <font>
      <b val="true"/>
      <sz val="14"/>
      <color rgb="FFFFFFFF"/>
      <name val="Calibri"/>
      <family val="0"/>
      <charset val="1"/>
    </font>
    <font>
      <sz val="10"/>
      <color rgb="FFD8A541"/>
      <name val="Calibri"/>
      <family val="0"/>
      <charset val="1"/>
    </font>
    <font>
      <b val="true"/>
      <sz val="12"/>
      <color rgb="FF0E1B2A"/>
      <name val="Calibri"/>
      <family val="0"/>
      <charset val="1"/>
    </font>
    <font>
      <b val="true"/>
      <sz val="10"/>
      <color rgb="FF5D6B78"/>
      <name val="Calibri"/>
      <family val="0"/>
      <charset val="1"/>
    </font>
    <font>
      <sz val="11"/>
      <color rgb="FF16222E"/>
      <name val="Calibri"/>
      <family val="0"/>
      <charset val="1"/>
    </font>
    <font>
      <b val="true"/>
      <sz val="11"/>
      <color rgb="FF0E1B2A"/>
      <name val="Calibri"/>
      <family val="0"/>
      <charset val="1"/>
    </font>
    <font>
      <i val="true"/>
      <sz val="9"/>
      <color rgb="FF5D6B78"/>
      <name val="Calibri"/>
      <family val="0"/>
      <charset val="1"/>
    </font>
    <font>
      <sz val="10.5"/>
      <color rgb="FF16222E"/>
      <name val="Calibri"/>
      <family val="0"/>
      <charset val="1"/>
    </font>
    <font>
      <b val="true"/>
      <sz val="10"/>
      <color rgb="FF1E6B2E"/>
      <name val="Calibri"/>
      <family val="0"/>
      <charset val="1"/>
    </font>
    <font>
      <sz val="10"/>
      <color rgb="FF16222E"/>
      <name val="Calibri"/>
      <family val="0"/>
      <charset val="1"/>
    </font>
    <font>
      <b val="true"/>
      <sz val="10"/>
      <color rgb="FF8A6D1A"/>
      <name val="Calibri"/>
      <family val="0"/>
      <charset val="1"/>
    </font>
    <font>
      <b val="true"/>
      <sz val="10"/>
      <color rgb="FF9B2C20"/>
      <name val="Calibri"/>
      <family val="0"/>
      <charset val="1"/>
    </font>
    <font>
      <b val="true"/>
      <sz val="10"/>
      <color rgb="FF8A8A8A"/>
      <name val="Calibri"/>
      <family val="0"/>
      <charset val="1"/>
    </font>
    <font>
      <b val="true"/>
      <sz val="11"/>
      <color rgb="FFB08534"/>
      <name val="Calibri"/>
      <family val="0"/>
      <charset val="1"/>
    </font>
    <font>
      <i val="true"/>
      <sz val="9.5"/>
      <color rgb="FF5D6B78"/>
      <name val="Calibri"/>
      <family val="0"/>
      <charset val="1"/>
    </font>
    <font>
      <b val="true"/>
      <sz val="10"/>
      <color rgb="FFB08534"/>
      <name val="Calibri"/>
      <family val="0"/>
      <charset val="1"/>
    </font>
    <font>
      <b val="true"/>
      <sz val="15"/>
      <color rgb="FFFFFFFF"/>
      <name val="Calibri"/>
      <family val="0"/>
      <charset val="1"/>
    </font>
    <font>
      <sz val="9"/>
      <color rgb="FFD8A541"/>
      <name val="Calibri"/>
      <family val="0"/>
      <charset val="1"/>
    </font>
    <font>
      <b val="true"/>
      <sz val="10"/>
      <color rgb="FFFFFFFF"/>
      <name val="Calibri"/>
      <family val="0"/>
      <charset val="1"/>
    </font>
    <font>
      <b val="true"/>
      <sz val="10.5"/>
      <color rgb="FFFFFFFF"/>
      <name val="Calibri"/>
      <family val="0"/>
      <charset val="1"/>
    </font>
    <font>
      <b val="true"/>
      <sz val="9.5"/>
      <color rgb="FF3D5A7A"/>
      <name val="Calibri"/>
      <family val="0"/>
      <charset val="1"/>
    </font>
    <font>
      <sz val="10"/>
      <name val="Arial"/>
      <family val="2"/>
    </font>
    <font>
      <b val="true"/>
      <sz val="11"/>
      <color rgb="FF9B2C20"/>
      <name val="Calibri"/>
      <family val="0"/>
      <charset val="1"/>
    </font>
    <font>
      <b val="true"/>
      <sz val="12"/>
      <color rgb="FF9B2C20"/>
      <name val="Calibri"/>
      <family val="0"/>
      <charset val="1"/>
    </font>
    <font>
      <sz val="9.5"/>
      <color rgb="FF16222E"/>
      <name val="Calibri"/>
      <family val="0"/>
      <charset val="1"/>
    </font>
    <font>
      <b val="true"/>
      <sz val="10"/>
      <color rgb="FF16222E"/>
      <name val="Calibri"/>
      <family val="0"/>
      <charset val="1"/>
    </font>
    <font>
      <b val="true"/>
      <sz val="13"/>
      <color rgb="FFFFFFFF"/>
      <name val="Calibri"/>
      <family val="0"/>
      <charset val="1"/>
    </font>
    <font>
      <b val="true"/>
      <sz val="10"/>
      <color rgb="FF0E1B2A"/>
      <name val="Calibri"/>
      <family val="0"/>
      <charset val="1"/>
    </font>
    <font>
      <b val="true"/>
      <sz val="18"/>
      <color rgb="FF000000"/>
      <name val="Calibri"/>
      <family val="2"/>
    </font>
  </fonts>
  <fills count="14">
    <fill>
      <patternFill patternType="none"/>
    </fill>
    <fill>
      <patternFill patternType="gray125"/>
    </fill>
    <fill>
      <patternFill patternType="solid">
        <fgColor rgb="FF0E1B2A"/>
        <bgColor rgb="FF16222E"/>
      </patternFill>
    </fill>
    <fill>
      <patternFill patternType="solid">
        <fgColor rgb="FF13243A"/>
        <bgColor rgb="FF16222E"/>
      </patternFill>
    </fill>
    <fill>
      <patternFill patternType="solid">
        <fgColor rgb="FFD8A541"/>
        <bgColor rgb="FFB08534"/>
      </patternFill>
    </fill>
    <fill>
      <patternFill patternType="solid">
        <fgColor rgb="FFFFFDF3"/>
        <bgColor rgb="FFFBFAF6"/>
      </patternFill>
    </fill>
    <fill>
      <patternFill patternType="solid">
        <fgColor rgb="FFD6E9D5"/>
        <bgColor rgb="FFE5E2DA"/>
      </patternFill>
    </fill>
    <fill>
      <patternFill patternType="solid">
        <fgColor rgb="FFFBEFD0"/>
        <bgColor rgb="FFFBE3CF"/>
      </patternFill>
    </fill>
    <fill>
      <patternFill patternType="solid">
        <fgColor rgb="FFF6D7D2"/>
        <bgColor rgb="FFFBE3CF"/>
      </patternFill>
    </fill>
    <fill>
      <patternFill patternType="solid">
        <fgColor rgb="FFE6E6E6"/>
        <bgColor rgb="FFE5E2DA"/>
      </patternFill>
    </fill>
    <fill>
      <patternFill patternType="solid">
        <fgColor rgb="FFF1EFEA"/>
        <bgColor rgb="FFF4F4F2"/>
      </patternFill>
    </fill>
    <fill>
      <patternFill patternType="solid">
        <fgColor rgb="FF3D5A7A"/>
        <bgColor rgb="FF5D6B78"/>
      </patternFill>
    </fill>
    <fill>
      <patternFill patternType="solid">
        <fgColor rgb="FFFBFAF6"/>
        <bgColor rgb="FFFFFDF3"/>
      </patternFill>
    </fill>
    <fill>
      <patternFill patternType="solid">
        <fgColor rgb="FFFFFFFF"/>
        <bgColor rgb="FFFFFDF3"/>
      </patternFill>
    </fill>
  </fills>
  <borders count="10">
    <border diagonalUp="false" diagonalDown="false">
      <left/>
      <right/>
      <top/>
      <bottom/>
      <diagonal/>
    </border>
    <border diagonalUp="false" diagonalDown="false">
      <left style="thin">
        <color rgb="FF3D5A7A"/>
      </left>
      <right/>
      <top style="thick">
        <color rgb="FFD8A541"/>
      </top>
      <bottom/>
      <diagonal/>
    </border>
    <border diagonalUp="false" diagonalDown="false">
      <left/>
      <right/>
      <top style="thick">
        <color rgb="FFD8A541"/>
      </top>
      <bottom/>
      <diagonal/>
    </border>
    <border diagonalUp="false" diagonalDown="false">
      <left/>
      <right style="thin">
        <color rgb="FF3D5A7A"/>
      </right>
      <top style="thick">
        <color rgb="FFD8A541"/>
      </top>
      <bottom/>
      <diagonal/>
    </border>
    <border diagonalUp="false" diagonalDown="false">
      <left style="thin">
        <color rgb="FF3D5A7A"/>
      </left>
      <right/>
      <top/>
      <bottom/>
      <diagonal/>
    </border>
    <border diagonalUp="false" diagonalDown="false">
      <left/>
      <right style="thin">
        <color rgb="FF3D5A7A"/>
      </right>
      <top/>
      <bottom/>
      <diagonal/>
    </border>
    <border diagonalUp="false" diagonalDown="false">
      <left style="thin">
        <color rgb="FF3D5A7A"/>
      </left>
      <right style="thin">
        <color rgb="FF3D5A7A"/>
      </right>
      <top/>
      <bottom/>
      <diagonal/>
    </border>
    <border diagonalUp="false" diagonalDown="false">
      <left style="thin">
        <color rgb="FF3D5A7A"/>
      </left>
      <right style="thin">
        <color rgb="FF3D5A7A"/>
      </right>
      <top/>
      <bottom style="thin">
        <color rgb="FF3D5A7A"/>
      </bottom>
      <diagonal/>
    </border>
    <border diagonalUp="false" diagonalDown="false">
      <left style="thin">
        <color rgb="FFE5E2DA"/>
      </left>
      <right style="thin">
        <color rgb="FFE5E2DA"/>
      </right>
      <top style="thin">
        <color rgb="FFE5E2DA"/>
      </top>
      <bottom style="thin">
        <color rgb="FFE5E2DA"/>
      </bottom>
      <diagonal/>
    </border>
    <border diagonalUp="false" diagonalDown="false">
      <left style="dashed">
        <color rgb="FF7A93AD"/>
      </left>
      <right style="dashed">
        <color rgb="FF7A93AD"/>
      </right>
      <top style="dashed">
        <color rgb="FF7A93AD"/>
      </top>
      <bottom style="dashed">
        <color rgb="FF7A93A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0" fillId="3" borderId="3" xfId="0" applyFont="false" applyBorder="true" applyAlignment="false" applyProtection="false">
      <alignment horizontal="general" vertical="bottom" textRotation="0" wrapText="fals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4" fontId="4" fillId="3" borderId="6" xfId="0" applyFont="true" applyBorder="true" applyAlignment="true" applyProtection="false">
      <alignment horizontal="center" vertical="center" textRotation="0" wrapText="false" indent="0" shrinkToFit="false"/>
      <protection locked="true" hidden="false"/>
    </xf>
    <xf numFmtId="164" fontId="5" fillId="3" borderId="6" xfId="0" applyFont="true" applyBorder="true" applyAlignment="true" applyProtection="false">
      <alignment horizontal="center" vertical="center" textRotation="0" wrapText="true" indent="0" shrinkToFit="false"/>
      <protection locked="true" hidden="false"/>
    </xf>
    <xf numFmtId="164" fontId="6" fillId="3" borderId="6" xfId="0" applyFont="true" applyBorder="true" applyAlignment="true" applyProtection="false">
      <alignment horizontal="center" vertical="center" textRotation="0" wrapText="false" indent="0" shrinkToFit="false"/>
      <protection locked="true" hidden="false"/>
    </xf>
    <xf numFmtId="164" fontId="7" fillId="3" borderId="6" xfId="0" applyFont="true" applyBorder="true" applyAlignment="true" applyProtection="false">
      <alignment horizontal="center" vertical="center" textRotation="0" wrapText="false" indent="0" shrinkToFit="false"/>
      <protection locked="true" hidden="false"/>
    </xf>
    <xf numFmtId="164" fontId="8" fillId="4" borderId="0" xfId="0" applyFont="true" applyBorder="true" applyAlignment="true" applyProtection="false">
      <alignment horizontal="center" vertical="center" textRotation="0" wrapText="false" indent="0" shrinkToFit="false"/>
      <protection locked="true" hidden="false"/>
    </xf>
    <xf numFmtId="164" fontId="9" fillId="3" borderId="7" xfId="0" applyFont="true" applyBorder="true" applyAlignment="true" applyProtection="false">
      <alignment horizontal="center" vertical="center" textRotation="0" wrapText="true" indent="0" shrinkToFit="false"/>
      <protection locked="true" hidden="false"/>
    </xf>
    <xf numFmtId="164" fontId="10" fillId="2" borderId="0" xfId="0" applyFont="true" applyBorder="true" applyAlignment="true" applyProtection="false">
      <alignment horizontal="left" vertical="center" textRotation="0" wrapText="false" indent="0" shrinkToFit="false"/>
      <protection locked="true" hidden="false"/>
    </xf>
    <xf numFmtId="164" fontId="11" fillId="2"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14" fillId="5" borderId="8" xfId="0" applyFont="true" applyBorder="true" applyAlignment="true" applyProtection="true">
      <alignment horizontal="left" vertical="center" textRotation="0" wrapText="false" indent="0" shrinkToFit="false"/>
      <protection locked="false" hidden="false"/>
    </xf>
    <xf numFmtId="164" fontId="15" fillId="5" borderId="8" xfId="0" applyFont="true" applyBorder="true" applyAlignment="true" applyProtection="true">
      <alignment horizontal="center" vertical="center" textRotation="0" wrapText="false" indent="0" shrinkToFit="false"/>
      <protection locked="fals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18" fillId="6" borderId="8" xfId="0" applyFont="true" applyBorder="true" applyAlignment="true" applyProtection="false">
      <alignment horizontal="center" vertical="center" textRotation="0" wrapText="false" indent="0" shrinkToFit="false"/>
      <protection locked="true" hidden="false"/>
    </xf>
    <xf numFmtId="164" fontId="19" fillId="0" borderId="0" xfId="0" applyFont="true" applyBorder="true" applyAlignment="true" applyProtection="false">
      <alignment horizontal="left" vertical="center" textRotation="0" wrapText="false" indent="0" shrinkToFit="false"/>
      <protection locked="true" hidden="false"/>
    </xf>
    <xf numFmtId="164" fontId="20" fillId="7" borderId="8" xfId="0" applyFont="true" applyBorder="true" applyAlignment="true" applyProtection="false">
      <alignment horizontal="center" vertical="center" textRotation="0" wrapText="false" indent="0" shrinkToFit="false"/>
      <protection locked="true" hidden="false"/>
    </xf>
    <xf numFmtId="164" fontId="21" fillId="8" borderId="8" xfId="0" applyFont="true" applyBorder="true" applyAlignment="true" applyProtection="false">
      <alignment horizontal="center" vertical="center" textRotation="0" wrapText="false" indent="0" shrinkToFit="false"/>
      <protection locked="true" hidden="false"/>
    </xf>
    <xf numFmtId="164" fontId="13" fillId="9" borderId="8" xfId="0" applyFont="true" applyBorder="true" applyAlignment="true" applyProtection="false">
      <alignment horizontal="center" vertical="center" textRotation="0" wrapText="false" indent="0" shrinkToFit="false"/>
      <protection locked="true" hidden="false"/>
    </xf>
    <xf numFmtId="164" fontId="22" fillId="10" borderId="8" xfId="0" applyFont="true" applyBorder="true" applyAlignment="true" applyProtection="false">
      <alignment horizontal="center" vertical="center"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true" applyAlignment="true" applyProtection="false">
      <alignment horizontal="general" vertical="top" textRotation="0" wrapText="tru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6" fillId="2" borderId="0" xfId="0" applyFont="true" applyBorder="true" applyAlignment="true" applyProtection="false">
      <alignment horizontal="left" vertical="center" textRotation="0" wrapText="false" indent="0" shrinkToFit="false"/>
      <protection locked="true" hidden="false"/>
    </xf>
    <xf numFmtId="164" fontId="27" fillId="2" borderId="0" xfId="0" applyFont="true" applyBorder="true" applyAlignment="true" applyProtection="false">
      <alignment horizontal="left" vertical="center" textRotation="0" wrapText="false" indent="0" shrinkToFit="false"/>
      <protection locked="true" hidden="false"/>
    </xf>
    <xf numFmtId="164" fontId="28" fillId="3" borderId="8" xfId="0" applyFont="true" applyBorder="true" applyAlignment="true" applyProtection="false">
      <alignment horizontal="center" vertical="center" textRotation="0" wrapText="true" indent="0" shrinkToFit="false"/>
      <protection locked="true" hidden="false"/>
    </xf>
    <xf numFmtId="164" fontId="29" fillId="11" borderId="0" xfId="0" applyFont="true" applyBorder="true" applyAlignment="true" applyProtection="false">
      <alignment horizontal="left" vertical="center" textRotation="0" wrapText="false" indent="0" shrinkToFit="false"/>
      <protection locked="true" hidden="false"/>
    </xf>
    <xf numFmtId="164" fontId="30" fillId="12" borderId="8" xfId="0" applyFont="true" applyBorder="true" applyAlignment="true" applyProtection="false">
      <alignment horizontal="center" vertical="center" textRotation="0" wrapText="false" indent="0" shrinkToFit="false"/>
      <protection locked="true" hidden="false"/>
    </xf>
    <xf numFmtId="164" fontId="17" fillId="13" borderId="8" xfId="0" applyFont="true" applyBorder="true" applyAlignment="true" applyProtection="false">
      <alignment horizontal="general" vertical="top" textRotation="0" wrapText="true" indent="0" shrinkToFit="false"/>
      <protection locked="true" hidden="false"/>
    </xf>
    <xf numFmtId="164" fontId="22" fillId="10" borderId="8" xfId="0" applyFont="true" applyBorder="true" applyAlignment="true" applyProtection="true">
      <alignment horizontal="center" vertical="center" textRotation="0" wrapText="true" indent="0" shrinkToFit="false"/>
      <protection locked="false" hidden="false"/>
    </xf>
    <xf numFmtId="164" fontId="19" fillId="13" borderId="8" xfId="0" applyFont="true" applyBorder="true" applyAlignment="true" applyProtection="true">
      <alignment horizontal="general" vertical="top" textRotation="0" wrapText="true" indent="0" shrinkToFit="false"/>
      <protection locked="false" hidden="false"/>
    </xf>
    <xf numFmtId="164" fontId="32" fillId="0" borderId="0" xfId="0" applyFont="true" applyBorder="true" applyAlignment="true" applyProtection="false">
      <alignment horizontal="right" vertical="center" textRotation="0" wrapText="false" indent="0" shrinkToFit="false"/>
      <protection locked="true" hidden="false"/>
    </xf>
    <xf numFmtId="164" fontId="33"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true" applyAlignment="true" applyProtection="false">
      <alignment horizontal="left" vertical="center" textRotation="0" wrapText="false" indent="0" shrinkToFit="false"/>
      <protection locked="true" hidden="false"/>
    </xf>
    <xf numFmtId="164" fontId="30" fillId="0" borderId="8" xfId="0" applyFont="true" applyBorder="true" applyAlignment="true" applyProtection="false">
      <alignment horizontal="center" vertical="center" textRotation="0" wrapText="false" indent="0" shrinkToFit="false"/>
      <protection locked="true" hidden="false"/>
    </xf>
    <xf numFmtId="164" fontId="19" fillId="0" borderId="8" xfId="0" applyFont="true" applyBorder="true" applyAlignment="true" applyProtection="false">
      <alignment horizontal="general" vertical="center" textRotation="0" wrapText="true" indent="0" shrinkToFit="false"/>
      <protection locked="true" hidden="false"/>
    </xf>
    <xf numFmtId="164" fontId="34" fillId="0" borderId="8" xfId="0" applyFont="true" applyBorder="true" applyAlignment="true" applyProtection="false">
      <alignment horizontal="general" vertical="top" textRotation="0" wrapText="true" indent="0" shrinkToFit="false"/>
      <protection locked="true" hidden="false"/>
    </xf>
    <xf numFmtId="164" fontId="35" fillId="0" borderId="8" xfId="0" applyFont="true" applyBorder="true" applyAlignment="true" applyProtection="false">
      <alignment horizontal="center" vertical="center" textRotation="0" wrapText="true" indent="0" shrinkToFit="false"/>
      <protection locked="true" hidden="false"/>
    </xf>
    <xf numFmtId="164" fontId="19" fillId="0" borderId="8" xfId="0" applyFont="true" applyBorder="true" applyAlignment="true" applyProtection="true">
      <alignment horizontal="general" vertical="top" textRotation="0" wrapText="true" indent="0" shrinkToFit="false"/>
      <protection locked="false" hidden="false"/>
    </xf>
    <xf numFmtId="164" fontId="19" fillId="0" borderId="8" xfId="0" applyFont="true" applyBorder="true" applyAlignment="true" applyProtection="true">
      <alignment horizontal="center" vertical="center" textRotation="0" wrapText="false" indent="0" shrinkToFit="false"/>
      <protection locked="false" hidden="false"/>
    </xf>
    <xf numFmtId="165" fontId="19" fillId="0" borderId="8" xfId="0" applyFont="true" applyBorder="true" applyAlignment="true" applyProtection="true">
      <alignment horizontal="center" vertical="center" textRotation="0" wrapText="false" indent="0" shrinkToFit="false"/>
      <protection locked="false" hidden="false"/>
    </xf>
    <xf numFmtId="164" fontId="16" fillId="13" borderId="9" xfId="0" applyFont="true" applyBorder="true" applyAlignment="true" applyProtection="true">
      <alignment horizontal="center" vertical="center" textRotation="0" wrapText="true" indent="0" shrinkToFit="false"/>
      <protection locked="false" hidden="false"/>
    </xf>
    <xf numFmtId="164" fontId="15" fillId="12" borderId="0" xfId="0" applyFont="true" applyBorder="true" applyAlignment="true" applyProtection="false">
      <alignment horizontal="left" vertical="center" textRotation="0" wrapText="false" indent="0" shrinkToFit="false"/>
      <protection locked="true" hidden="false"/>
    </xf>
    <xf numFmtId="164" fontId="36" fillId="11" borderId="0" xfId="0" applyFont="true" applyBorder="true" applyAlignment="true" applyProtection="false">
      <alignment horizontal="center" vertical="center" textRotation="0" wrapText="true" indent="0" shrinkToFit="false"/>
      <protection locked="true" hidden="false"/>
    </xf>
    <xf numFmtId="164" fontId="28" fillId="3" borderId="8" xfId="0" applyFont="true" applyBorder="true" applyAlignment="true" applyProtection="false">
      <alignment horizontal="left" vertical="center" textRotation="0" wrapText="false" indent="0" shrinkToFit="false"/>
      <protection locked="true" hidden="false"/>
    </xf>
    <xf numFmtId="164" fontId="28" fillId="3" borderId="8" xfId="0" applyFont="true" applyBorder="true" applyAlignment="true" applyProtection="false">
      <alignment horizontal="center" vertical="center" textRotation="0" wrapText="false" indent="0" shrinkToFit="false"/>
      <protection locked="true" hidden="false"/>
    </xf>
    <xf numFmtId="164" fontId="37" fillId="12" borderId="8" xfId="0" applyFont="true" applyBorder="true" applyAlignment="true" applyProtection="false">
      <alignment horizontal="left" vertical="center" textRotation="0" wrapText="false" indent="0" shrinkToFit="false"/>
      <protection locked="true" hidden="false"/>
    </xf>
    <xf numFmtId="164" fontId="19" fillId="0" borderId="8" xfId="0" applyFont="true" applyBorder="true" applyAlignment="true" applyProtection="false">
      <alignment horizontal="center" vertical="center" textRotation="0" wrapText="false" indent="0" shrinkToFit="false"/>
      <protection locked="true" hidden="false"/>
    </xf>
    <xf numFmtId="164" fontId="19" fillId="0" borderId="8" xfId="0" applyFont="true" applyBorder="true" applyAlignment="true" applyProtection="false">
      <alignment horizontal="left" vertical="center" textRotation="0" wrapText="false" indent="0" shrinkToFit="false"/>
      <protection locked="true" hidden="false"/>
    </xf>
    <xf numFmtId="164" fontId="35" fillId="0" borderId="8" xfId="0" applyFont="true" applyBorder="true" applyAlignment="true" applyProtection="false">
      <alignment horizontal="center" vertical="center" textRotation="0" wrapText="false" indent="0" shrinkToFit="false"/>
      <protection locked="true" hidden="false"/>
    </xf>
    <xf numFmtId="164" fontId="18" fillId="6" borderId="8" xfId="0" applyFont="true" applyBorder="true" applyAlignment="true" applyProtection="false">
      <alignment horizontal="left" vertical="center" textRotation="0" wrapText="false" indent="0" shrinkToFit="false"/>
      <protection locked="true" hidden="false"/>
    </xf>
    <xf numFmtId="164" fontId="20" fillId="7" borderId="8" xfId="0" applyFont="true" applyBorder="true" applyAlignment="true" applyProtection="false">
      <alignment horizontal="left" vertical="center" textRotation="0" wrapText="false" indent="0" shrinkToFit="false"/>
      <protection locked="true" hidden="false"/>
    </xf>
    <xf numFmtId="164" fontId="21" fillId="8" borderId="8" xfId="0" applyFont="true" applyBorder="true" applyAlignment="true" applyProtection="false">
      <alignment horizontal="left" vertical="center" textRotation="0" wrapText="false" indent="0" shrinkToFit="false"/>
      <protection locked="true" hidden="false"/>
    </xf>
    <xf numFmtId="164" fontId="22" fillId="10" borderId="8" xfId="0" applyFont="true" applyBorder="true" applyAlignment="true" applyProtection="false">
      <alignment horizontal="left" vertical="center" textRotation="0" wrapText="false" indent="0" shrinkToFit="false"/>
      <protection locked="true" hidden="false"/>
    </xf>
    <xf numFmtId="164" fontId="37" fillId="12" borderId="8" xfId="0" applyFont="true" applyBorder="true" applyAlignment="true" applyProtection="false">
      <alignment horizontal="center" vertical="center" textRotation="0" wrapText="false" indent="0" shrinkToFit="false"/>
      <protection locked="true" hidden="false"/>
    </xf>
    <xf numFmtId="164" fontId="13" fillId="0" borderId="8" xfId="0" applyFont="true" applyBorder="true" applyAlignment="true" applyProtection="false">
      <alignment horizontal="left" vertical="center" textRotation="0" wrapText="false" indent="0" shrinkToFit="false"/>
      <protection locked="true" hidden="false"/>
    </xf>
    <xf numFmtId="164" fontId="0" fillId="2" borderId="0"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1">
    <dxf>
      <font>
        <name val="Calibri"/>
        <charset val="1"/>
        <family val="0"/>
        <color rgb="FFBBBBBB"/>
        <sz val="10"/>
      </font>
      <fill>
        <patternFill>
          <bgColor rgb="FFF4F4F2"/>
        </patternFill>
      </fill>
    </dxf>
    <dxf>
      <font>
        <name val="Calibri"/>
        <charset val="1"/>
        <family val="0"/>
        <b val="1"/>
        <color rgb="FF1E6B2E"/>
        <sz val="10"/>
      </font>
      <fill>
        <patternFill>
          <bgColor rgb="FFD6E9D5"/>
        </patternFill>
      </fill>
    </dxf>
    <dxf>
      <font>
        <name val="Calibri"/>
        <charset val="1"/>
        <family val="0"/>
        <b val="1"/>
        <color rgb="FF8A6D1A"/>
        <sz val="10"/>
      </font>
      <fill>
        <patternFill>
          <bgColor rgb="FFFBEFD0"/>
        </patternFill>
      </fill>
    </dxf>
    <dxf>
      <font>
        <name val="Calibri"/>
        <charset val="1"/>
        <family val="0"/>
        <b val="1"/>
        <color rgb="FF9B2C20"/>
        <sz val="10"/>
      </font>
      <fill>
        <patternFill>
          <bgColor rgb="FFF6D7D2"/>
        </patternFill>
      </fill>
    </dxf>
    <dxf>
      <font>
        <name val="Calibri"/>
        <charset val="1"/>
        <family val="0"/>
        <b val="1"/>
        <color rgb="FF5D6B78"/>
        <sz val="10"/>
      </font>
      <fill>
        <patternFill>
          <bgColor rgb="FFE6E6E6"/>
        </patternFill>
      </fill>
    </dxf>
    <dxf>
      <font>
        <name val="Calibri"/>
        <charset val="1"/>
        <family val="0"/>
        <b val="1"/>
        <color rgb="FF8A8A8A"/>
        <sz val="10"/>
      </font>
      <fill>
        <patternFill>
          <bgColor rgb="FFF1EFEA"/>
        </patternFill>
      </fill>
    </dxf>
    <dxf>
      <fill>
        <patternFill patternType="solid">
          <fgColor rgb="FF13243A"/>
          <bgColor rgb="FF000000"/>
        </patternFill>
      </fill>
    </dxf>
    <dxf>
      <fill>
        <patternFill patternType="solid">
          <fgColor rgb="FFFFFFFF"/>
          <bgColor rgb="FF000000"/>
        </patternFill>
      </fill>
    </dxf>
    <dxf>
      <fill>
        <patternFill patternType="solid">
          <bgColor rgb="FF000000"/>
        </patternFill>
      </fill>
    </dxf>
    <dxf>
      <font>
        <name val="Calibri"/>
        <charset val="1"/>
        <family val="0"/>
        <color rgb="FFFFFFFF"/>
        <sz val="10"/>
      </font>
      <fill>
        <patternFill>
          <bgColor rgb="FFFFFFFF"/>
        </patternFill>
      </fill>
    </dxf>
    <dxf>
      <font>
        <name val="Calibri"/>
        <charset val="1"/>
        <family val="0"/>
        <b val="1"/>
        <color rgb="FF9A5B1E"/>
        <sz val="10"/>
      </font>
      <fill>
        <patternFill>
          <bgColor rgb="FFFBE3CF"/>
        </patternFill>
      </fill>
    </dxf>
  </dxfs>
  <colors>
    <indexedColors>
      <rgbColor rgb="FF000000"/>
      <rgbColor rgb="FFFFFFFF"/>
      <rgbColor rgb="FFFF0000"/>
      <rgbColor rgb="FF00FF00"/>
      <rgbColor rgb="FF0000FF"/>
      <rgbColor rgb="FFFFFDF3"/>
      <rgbColor rgb="FFFF00FF"/>
      <rgbColor rgb="FF00FFFF"/>
      <rgbColor rgb="FF800000"/>
      <rgbColor rgb="FF1E6B2E"/>
      <rgbColor rgb="FF000080"/>
      <rgbColor rgb="FF8A6D1A"/>
      <rgbColor rgb="FF800080"/>
      <rgbColor rgb="FF008080"/>
      <rgbColor rgb="FFBBBBBB"/>
      <rgbColor rgb="FF8A8A8A"/>
      <rgbColor rgb="FF9999FF"/>
      <rgbColor rgb="FF9A5B1E"/>
      <rgbColor rgb="FFFBEFD0"/>
      <rgbColor rgb="FFF4F4F2"/>
      <rgbColor rgb="FF660066"/>
      <rgbColor rgb="FFB08534"/>
      <rgbColor rgb="FF0066CC"/>
      <rgbColor rgb="FFBCD2E8"/>
      <rgbColor rgb="FF000080"/>
      <rgbColor rgb="FFFF00FF"/>
      <rgbColor rgb="FFFBFAF6"/>
      <rgbColor rgb="FF00FFFF"/>
      <rgbColor rgb="FF800080"/>
      <rgbColor rgb="FF800000"/>
      <rgbColor rgb="FF008080"/>
      <rgbColor rgb="FF0000FF"/>
      <rgbColor rgb="FF00CCFF"/>
      <rgbColor rgb="FFF1EFEA"/>
      <rgbColor rgb="FFD6E9D5"/>
      <rgbColor rgb="FFFBE3CF"/>
      <rgbColor rgb="FFD9D9D9"/>
      <rgbColor rgb="FFE5E2DA"/>
      <rgbColor rgb="FFE6E6E6"/>
      <rgbColor rgb="FFF6D7D2"/>
      <rgbColor rgb="FF3366FF"/>
      <rgbColor rgb="FF33CCCC"/>
      <rgbColor rgb="FF99CC00"/>
      <rgbColor rgb="FFFFCC00"/>
      <rgbColor rgb="FFD8A541"/>
      <rgbColor rgb="FFFF6600"/>
      <rgbColor rgb="FF5D6B78"/>
      <rgbColor rgb="FF7A93AD"/>
      <rgbColor rgb="FF13243A"/>
      <rgbColor rgb="FF339966"/>
      <rgbColor rgb="FF0E1B2A"/>
      <rgbColor rgb="FF231A05"/>
      <rgbColor rgb="FF9B2C20"/>
      <rgbColor rgb="FF993366"/>
      <rgbColor rgb="FF3D5A7A"/>
      <rgbColor rgb="FF1622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rPr>
              <a:t>Maturity level achieved by control</a:t>
            </a:r>
          </a:p>
        </c:rich>
      </c:tx>
      <c:overlay val="0"/>
      <c:spPr>
        <a:noFill/>
        <a:ln w="0">
          <a:noFill/>
        </a:ln>
      </c:spPr>
    </c:title>
    <c:autoTitleDeleted val="0"/>
    <c:plotArea>
      <c:barChart>
        <c:barDir val="bar"/>
        <c:grouping val="clustered"/>
        <c:varyColors val="0"/>
        <c:ser>
          <c:idx val="0"/>
          <c:order val="0"/>
          <c:spPr>
            <a:solidFill>
              <a:srgbClr val="3D5A7A"/>
            </a:solidFill>
            <a:ln w="12600">
              <a:noFill/>
            </a:ln>
          </c:spPr>
          <c:invertIfNegative val="0"/>
        </c:ser>
        <c:gapWidth val="150"/>
        <c:overlap val="0"/>
        <c:axId val="33359595"/>
        <c:axId val="5736288"/>
      </c:barChart>
      <c:catAx>
        <c:axId val="33359595"/>
        <c:scaling>
          <c:orientation val="minMax"/>
        </c:scaling>
        <c:delete val="0"/>
        <c:axPos val="b"/>
        <c:numFmt formatCode="[$-409]mm/dd/yyyy"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5736288"/>
        <c:crosses val="autoZero"/>
        <c:auto val="1"/>
        <c:lblAlgn val="ctr"/>
        <c:lblOffset val="100"/>
        <c:noMultiLvlLbl val="0"/>
      </c:catAx>
      <c:valAx>
        <c:axId val="5736288"/>
        <c:scaling>
          <c:orientation val="minMax"/>
          <c:max val="3"/>
          <c:min val="0"/>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33359595"/>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xdr:row>
      <xdr:rowOff>0</xdr:rowOff>
    </xdr:from>
    <xdr:to>
      <xdr:col>3</xdr:col>
      <xdr:colOff>875880</xdr:colOff>
      <xdr:row>2</xdr:row>
      <xdr:rowOff>199800</xdr:rowOff>
    </xdr:to>
    <xdr:pic>
      <xdr:nvPicPr>
        <xdr:cNvPr id="1" name="Image 1" descr="Picture"/>
        <xdr:cNvPicPr/>
      </xdr:nvPicPr>
      <xdr:blipFill>
        <a:blip r:embed="rId1"/>
        <a:stretch/>
      </xdr:blipFill>
      <xdr:spPr>
        <a:xfrm>
          <a:off x="1409760" y="247680"/>
          <a:ext cx="2285640" cy="4474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0</xdr:colOff>
      <xdr:row>0</xdr:row>
      <xdr:rowOff>0</xdr:rowOff>
    </xdr:from>
    <xdr:to>
      <xdr:col>4</xdr:col>
      <xdr:colOff>18720</xdr:colOff>
      <xdr:row>0</xdr:row>
      <xdr:rowOff>275760</xdr:rowOff>
    </xdr:to>
    <xdr:pic>
      <xdr:nvPicPr>
        <xdr:cNvPr id="2" name="Image 1" descr="Picture"/>
        <xdr:cNvPicPr/>
      </xdr:nvPicPr>
      <xdr:blipFill>
        <a:blip r:embed="rId1"/>
        <a:stretch/>
      </xdr:blipFill>
      <xdr:spPr>
        <a:xfrm>
          <a:off x="5850360" y="0"/>
          <a:ext cx="1428480" cy="2757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0</xdr:colOff>
      <xdr:row>0</xdr:row>
      <xdr:rowOff>0</xdr:rowOff>
    </xdr:from>
    <xdr:to>
      <xdr:col>4</xdr:col>
      <xdr:colOff>300600</xdr:colOff>
      <xdr:row>0</xdr:row>
      <xdr:rowOff>275760</xdr:rowOff>
    </xdr:to>
    <xdr:pic>
      <xdr:nvPicPr>
        <xdr:cNvPr id="3" name="Image 1" descr="Picture"/>
        <xdr:cNvPicPr/>
      </xdr:nvPicPr>
      <xdr:blipFill>
        <a:blip r:embed="rId1"/>
        <a:stretch/>
      </xdr:blipFill>
      <xdr:spPr>
        <a:xfrm>
          <a:off x="6414120" y="0"/>
          <a:ext cx="1428480" cy="27576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0</xdr:colOff>
      <xdr:row>0</xdr:row>
      <xdr:rowOff>0</xdr:rowOff>
    </xdr:from>
    <xdr:to>
      <xdr:col>10</xdr:col>
      <xdr:colOff>511920</xdr:colOff>
      <xdr:row>0</xdr:row>
      <xdr:rowOff>275760</xdr:rowOff>
    </xdr:to>
    <xdr:pic>
      <xdr:nvPicPr>
        <xdr:cNvPr id="4" name="Image 1" descr="Picture"/>
        <xdr:cNvPicPr/>
      </xdr:nvPicPr>
      <xdr:blipFill>
        <a:blip r:embed="rId1"/>
        <a:stretch/>
      </xdr:blipFill>
      <xdr:spPr>
        <a:xfrm>
          <a:off x="13039560" y="0"/>
          <a:ext cx="1428480" cy="27576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19</xdr:row>
      <xdr:rowOff>0</xdr:rowOff>
    </xdr:from>
    <xdr:to>
      <xdr:col>6</xdr:col>
      <xdr:colOff>833400</xdr:colOff>
      <xdr:row>36</xdr:row>
      <xdr:rowOff>1080</xdr:rowOff>
    </xdr:to>
    <xdr:graphicFrame>
      <xdr:nvGraphicFramePr>
        <xdr:cNvPr id="5" name="Chart 1"/>
        <xdr:cNvGraphicFramePr/>
      </xdr:nvGraphicFramePr>
      <xdr:xfrm>
        <a:off x="0" y="4057560"/>
        <a:ext cx="611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39</xdr:row>
      <xdr:rowOff>0</xdr:rowOff>
    </xdr:from>
    <xdr:to>
      <xdr:col>1</xdr:col>
      <xdr:colOff>1217160</xdr:colOff>
      <xdr:row>40</xdr:row>
      <xdr:rowOff>47160</xdr:rowOff>
    </xdr:to>
    <xdr:pic>
      <xdr:nvPicPr>
        <xdr:cNvPr id="6" name="Image 2" descr="Picture"/>
        <xdr:cNvPicPr/>
      </xdr:nvPicPr>
      <xdr:blipFill>
        <a:blip r:embed="rId2"/>
        <a:stretch/>
      </xdr:blipFill>
      <xdr:spPr>
        <a:xfrm>
          <a:off x="0" y="7867800"/>
          <a:ext cx="1428480" cy="2757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33"/>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6"/>
    <col collapsed="false" customWidth="true" hidden="false" outlineLevel="0" max="5" min="3" style="0" width="20"/>
    <col collapsed="false" customWidth="true" hidden="false" outlineLevel="0" max="6" min="6" style="0" width="16"/>
    <col collapsed="false" customWidth="true" hidden="false" outlineLevel="0" max="7" min="7" style="0" width="4"/>
    <col collapsed="false" customWidth="true" hidden="false" outlineLevel="0" max="8" min="8" style="0" width="3"/>
  </cols>
  <sheetData>
    <row r="1" customFormat="false" ht="19.5" hidden="false" customHeight="true" outlineLevel="0" collapsed="false">
      <c r="A1" s="1"/>
      <c r="B1" s="1"/>
      <c r="C1" s="1"/>
      <c r="D1" s="1"/>
      <c r="E1" s="1"/>
      <c r="F1" s="1"/>
      <c r="G1" s="1"/>
      <c r="H1" s="1"/>
      <c r="I1" s="1"/>
      <c r="J1" s="1"/>
      <c r="K1" s="1"/>
      <c r="L1" s="1"/>
    </row>
    <row r="2" customFormat="false" ht="19.5" hidden="false" customHeight="true" outlineLevel="0" collapsed="false">
      <c r="A2" s="1"/>
      <c r="B2" s="1"/>
      <c r="C2" s="1"/>
      <c r="D2" s="1"/>
      <c r="E2" s="1"/>
      <c r="F2" s="1"/>
      <c r="G2" s="1"/>
      <c r="H2" s="1"/>
      <c r="I2" s="1"/>
      <c r="J2" s="1"/>
      <c r="K2" s="1"/>
      <c r="L2" s="1"/>
    </row>
    <row r="3" customFormat="false" ht="19.5" hidden="false" customHeight="true" outlineLevel="0" collapsed="false">
      <c r="A3" s="1"/>
      <c r="B3" s="1"/>
      <c r="C3" s="1"/>
      <c r="D3" s="1"/>
      <c r="E3" s="1"/>
      <c r="F3" s="1"/>
      <c r="G3" s="1"/>
      <c r="H3" s="1"/>
      <c r="I3" s="1"/>
      <c r="J3" s="1"/>
      <c r="K3" s="1"/>
      <c r="L3" s="1"/>
    </row>
    <row r="4" customFormat="false" ht="19.5" hidden="false" customHeight="true" outlineLevel="0" collapsed="false">
      <c r="A4" s="1"/>
      <c r="B4" s="2"/>
      <c r="C4" s="3"/>
      <c r="D4" s="3"/>
      <c r="E4" s="3"/>
      <c r="F4" s="4"/>
      <c r="G4" s="1"/>
      <c r="H4" s="1"/>
      <c r="I4" s="1"/>
      <c r="J4" s="1"/>
      <c r="K4" s="1"/>
      <c r="L4" s="1"/>
    </row>
    <row r="5" customFormat="false" ht="19.5" hidden="false" customHeight="true" outlineLevel="0" collapsed="false">
      <c r="A5" s="1"/>
      <c r="B5" s="5"/>
      <c r="C5" s="6"/>
      <c r="D5" s="6"/>
      <c r="E5" s="6"/>
      <c r="F5" s="7"/>
      <c r="G5" s="1"/>
      <c r="H5" s="1"/>
      <c r="I5" s="1"/>
      <c r="J5" s="1"/>
      <c r="K5" s="1"/>
      <c r="L5" s="1"/>
    </row>
    <row r="6" customFormat="false" ht="19.5" hidden="false" customHeight="true" outlineLevel="0" collapsed="false">
      <c r="A6" s="1"/>
      <c r="B6" s="8" t="s">
        <v>0</v>
      </c>
      <c r="C6" s="8"/>
      <c r="D6" s="8"/>
      <c r="E6" s="8"/>
      <c r="F6" s="8"/>
      <c r="G6" s="1"/>
      <c r="H6" s="1"/>
      <c r="I6" s="1"/>
      <c r="J6" s="1"/>
      <c r="K6" s="1"/>
      <c r="L6" s="1"/>
    </row>
    <row r="7" customFormat="false" ht="27" hidden="false" customHeight="true" outlineLevel="0" collapsed="false">
      <c r="A7" s="1"/>
      <c r="B7" s="9" t="s">
        <v>1</v>
      </c>
      <c r="C7" s="9"/>
      <c r="D7" s="9"/>
      <c r="E7" s="9"/>
      <c r="F7" s="9"/>
      <c r="G7" s="1"/>
      <c r="H7" s="1"/>
      <c r="I7" s="1"/>
      <c r="J7" s="1"/>
      <c r="K7" s="1"/>
      <c r="L7" s="1"/>
    </row>
    <row r="8" customFormat="false" ht="27" hidden="false" customHeight="true" outlineLevel="0" collapsed="false">
      <c r="A8" s="1"/>
      <c r="B8" s="9"/>
      <c r="C8" s="9"/>
      <c r="D8" s="9"/>
      <c r="E8" s="9"/>
      <c r="F8" s="9"/>
      <c r="G8" s="1"/>
      <c r="H8" s="1"/>
      <c r="I8" s="1"/>
      <c r="J8" s="1"/>
      <c r="K8" s="1"/>
      <c r="L8" s="1"/>
    </row>
    <row r="9" customFormat="false" ht="27" hidden="false" customHeight="true" outlineLevel="0" collapsed="false">
      <c r="A9" s="1"/>
      <c r="B9" s="9"/>
      <c r="C9" s="9"/>
      <c r="D9" s="9"/>
      <c r="E9" s="9"/>
      <c r="F9" s="9"/>
      <c r="G9" s="1"/>
      <c r="H9" s="1"/>
      <c r="I9" s="1"/>
      <c r="J9" s="1"/>
      <c r="K9" s="1"/>
      <c r="L9" s="1"/>
    </row>
    <row r="10" customFormat="false" ht="19.5" hidden="false" customHeight="true" outlineLevel="0" collapsed="false">
      <c r="A10" s="1"/>
      <c r="B10" s="5"/>
      <c r="C10" s="6"/>
      <c r="D10" s="6"/>
      <c r="E10" s="6"/>
      <c r="F10" s="7"/>
      <c r="G10" s="1"/>
      <c r="H10" s="1"/>
      <c r="I10" s="1"/>
      <c r="J10" s="1"/>
      <c r="K10" s="1"/>
      <c r="L10" s="1"/>
    </row>
    <row r="11" customFormat="false" ht="19.5" hidden="false" customHeight="true" outlineLevel="0" collapsed="false">
      <c r="A11" s="1"/>
      <c r="B11" s="10" t="s">
        <v>2</v>
      </c>
      <c r="C11" s="10"/>
      <c r="D11" s="10"/>
      <c r="E11" s="10"/>
      <c r="F11" s="10"/>
      <c r="G11" s="1"/>
      <c r="H11" s="1"/>
      <c r="I11" s="1"/>
      <c r="J11" s="1"/>
      <c r="K11" s="1"/>
      <c r="L11" s="1"/>
    </row>
    <row r="12" customFormat="false" ht="19.5" hidden="false" customHeight="true" outlineLevel="0" collapsed="false">
      <c r="A12" s="1"/>
      <c r="B12" s="5"/>
      <c r="C12" s="6"/>
      <c r="D12" s="6"/>
      <c r="E12" s="6"/>
      <c r="F12" s="7"/>
      <c r="G12" s="1"/>
      <c r="H12" s="1"/>
      <c r="I12" s="1"/>
      <c r="J12" s="1"/>
      <c r="K12" s="1"/>
      <c r="L12" s="1"/>
    </row>
    <row r="13" customFormat="false" ht="19.5" hidden="false" customHeight="true" outlineLevel="0" collapsed="false">
      <c r="A13" s="1"/>
      <c r="B13" s="11" t="s">
        <v>3</v>
      </c>
      <c r="C13" s="11"/>
      <c r="D13" s="11"/>
      <c r="E13" s="11"/>
      <c r="F13" s="11"/>
      <c r="G13" s="1"/>
      <c r="H13" s="1"/>
      <c r="I13" s="1"/>
      <c r="J13" s="1"/>
      <c r="K13" s="1"/>
      <c r="L13" s="1"/>
    </row>
    <row r="14" customFormat="false" ht="19.5" hidden="false" customHeight="true" outlineLevel="0" collapsed="false">
      <c r="A14" s="1"/>
      <c r="B14" s="5"/>
      <c r="C14" s="6"/>
      <c r="D14" s="6"/>
      <c r="E14" s="6"/>
      <c r="F14" s="7"/>
      <c r="G14" s="1"/>
      <c r="H14" s="1"/>
      <c r="I14" s="1"/>
      <c r="J14" s="1"/>
      <c r="K14" s="1"/>
      <c r="L14" s="1"/>
    </row>
    <row r="15" customFormat="false" ht="30" hidden="false" customHeight="true" outlineLevel="0" collapsed="false">
      <c r="A15" s="1"/>
      <c r="B15" s="5"/>
      <c r="C15" s="12" t="str">
        <f aca="false">HYPERLINK("#'Start Here'!A1","▶   Get started")</f>
        <v>▶   Get started</v>
      </c>
      <c r="D15" s="12"/>
      <c r="E15" s="12"/>
      <c r="F15" s="7"/>
      <c r="G15" s="1"/>
      <c r="H15" s="1"/>
      <c r="I15" s="1"/>
      <c r="J15" s="1"/>
      <c r="K15" s="1"/>
      <c r="L15" s="1"/>
    </row>
    <row r="16" customFormat="false" ht="19.5" hidden="false" customHeight="true" outlineLevel="0" collapsed="false">
      <c r="A16" s="1"/>
      <c r="B16" s="5"/>
      <c r="C16" s="6"/>
      <c r="D16" s="6"/>
      <c r="E16" s="6"/>
      <c r="F16" s="7"/>
      <c r="G16" s="1"/>
      <c r="H16" s="1"/>
      <c r="I16" s="1"/>
      <c r="J16" s="1"/>
      <c r="K16" s="1"/>
      <c r="L16" s="1"/>
    </row>
    <row r="17" customFormat="false" ht="19.5" hidden="false" customHeight="true" outlineLevel="0" collapsed="false">
      <c r="A17" s="1"/>
      <c r="B17" s="11" t="str">
        <f aca="false">HYPERLINK("https://digitaltactics.au/privacy","Privacy policy  ·  digitaltactics.au/privacy")</f>
        <v>Privacy policy  ·  digitaltactics.au/privacy</v>
      </c>
      <c r="C17" s="11"/>
      <c r="D17" s="11"/>
      <c r="E17" s="11"/>
      <c r="F17" s="11"/>
      <c r="G17" s="1"/>
      <c r="H17" s="1"/>
      <c r="I17" s="1"/>
      <c r="J17" s="1"/>
      <c r="K17" s="1"/>
      <c r="L17" s="1"/>
    </row>
    <row r="18" customFormat="false" ht="19.5" hidden="false" customHeight="true" outlineLevel="0" collapsed="false">
      <c r="A18" s="1"/>
      <c r="B18" s="5"/>
      <c r="C18" s="6"/>
      <c r="D18" s="6"/>
      <c r="E18" s="6"/>
      <c r="F18" s="7"/>
      <c r="G18" s="1"/>
      <c r="H18" s="1"/>
      <c r="I18" s="1"/>
      <c r="J18" s="1"/>
      <c r="K18" s="1"/>
      <c r="L18" s="1"/>
    </row>
    <row r="19" customFormat="false" ht="19.5" hidden="false" customHeight="true" outlineLevel="0" collapsed="false">
      <c r="A19" s="1"/>
      <c r="B19" s="13" t="s">
        <v>4</v>
      </c>
      <c r="C19" s="13"/>
      <c r="D19" s="13"/>
      <c r="E19" s="13"/>
      <c r="F19" s="13"/>
      <c r="G19" s="1"/>
      <c r="H19" s="1"/>
      <c r="I19" s="1"/>
      <c r="J19" s="1"/>
      <c r="K19" s="1"/>
      <c r="L19" s="1"/>
    </row>
    <row r="20" customFormat="false" ht="19.5" hidden="false" customHeight="true" outlineLevel="0" collapsed="false">
      <c r="A20" s="1"/>
      <c r="B20" s="13"/>
      <c r="C20" s="13"/>
      <c r="D20" s="13"/>
      <c r="E20" s="13"/>
      <c r="F20" s="13"/>
      <c r="G20" s="1"/>
      <c r="H20" s="1"/>
      <c r="I20" s="1"/>
      <c r="J20" s="1"/>
      <c r="K20" s="1"/>
      <c r="L20" s="1"/>
    </row>
    <row r="21" customFormat="false" ht="19.5" hidden="false" customHeight="true" outlineLevel="0" collapsed="false">
      <c r="A21" s="1"/>
      <c r="B21" s="13"/>
      <c r="C21" s="13"/>
      <c r="D21" s="13"/>
      <c r="E21" s="13"/>
      <c r="F21" s="13"/>
      <c r="G21" s="1"/>
      <c r="H21" s="1"/>
      <c r="I21" s="1"/>
      <c r="J21" s="1"/>
      <c r="K21" s="1"/>
      <c r="L21" s="1"/>
    </row>
    <row r="22" customFormat="false" ht="19.5" hidden="false" customHeight="true" outlineLevel="0" collapsed="false">
      <c r="A22" s="1"/>
      <c r="B22" s="13"/>
      <c r="C22" s="13"/>
      <c r="D22" s="13"/>
      <c r="E22" s="13"/>
      <c r="F22" s="13"/>
      <c r="G22" s="1"/>
      <c r="H22" s="1"/>
      <c r="I22" s="1"/>
      <c r="J22" s="1"/>
      <c r="K22" s="1"/>
      <c r="L22" s="1"/>
    </row>
    <row r="23" customFormat="false" ht="19.5" hidden="false" customHeight="true" outlineLevel="0" collapsed="false">
      <c r="A23" s="1"/>
      <c r="B23" s="1"/>
      <c r="C23" s="1"/>
      <c r="D23" s="1"/>
      <c r="E23" s="1"/>
      <c r="F23" s="1"/>
      <c r="G23" s="1"/>
      <c r="H23" s="1"/>
      <c r="I23" s="1"/>
      <c r="J23" s="1"/>
      <c r="K23" s="1"/>
      <c r="L23" s="1"/>
    </row>
    <row r="24" customFormat="false" ht="19.5" hidden="false" customHeight="true" outlineLevel="0" collapsed="false">
      <c r="A24" s="1"/>
      <c r="B24" s="1"/>
      <c r="C24" s="1"/>
      <c r="D24" s="1"/>
      <c r="E24" s="1"/>
      <c r="F24" s="1"/>
      <c r="G24" s="1"/>
      <c r="H24" s="1"/>
      <c r="I24" s="1"/>
      <c r="J24" s="1"/>
      <c r="K24" s="1"/>
      <c r="L24" s="1"/>
    </row>
    <row r="25" customFormat="false" ht="19.5" hidden="false" customHeight="true" outlineLevel="0" collapsed="false">
      <c r="A25" s="1"/>
      <c r="B25" s="1"/>
      <c r="C25" s="1"/>
      <c r="D25" s="1"/>
      <c r="E25" s="1"/>
      <c r="F25" s="1"/>
      <c r="G25" s="1"/>
      <c r="H25" s="1"/>
      <c r="I25" s="1"/>
      <c r="J25" s="1"/>
      <c r="K25" s="1"/>
      <c r="L25" s="1"/>
    </row>
    <row r="26" customFormat="false" ht="19.5" hidden="false" customHeight="true" outlineLevel="0" collapsed="false">
      <c r="A26" s="1"/>
      <c r="B26" s="1"/>
      <c r="C26" s="1"/>
      <c r="D26" s="1"/>
      <c r="E26" s="1"/>
      <c r="F26" s="1"/>
      <c r="G26" s="1"/>
      <c r="H26" s="1"/>
      <c r="I26" s="1"/>
      <c r="J26" s="1"/>
      <c r="K26" s="1"/>
      <c r="L26" s="1"/>
    </row>
    <row r="27" customFormat="false" ht="19.5" hidden="false" customHeight="true" outlineLevel="0" collapsed="false">
      <c r="A27" s="1"/>
      <c r="B27" s="1"/>
      <c r="C27" s="1"/>
      <c r="D27" s="1"/>
      <c r="E27" s="1"/>
      <c r="F27" s="1"/>
      <c r="G27" s="1"/>
      <c r="H27" s="1"/>
      <c r="I27" s="1"/>
      <c r="J27" s="1"/>
      <c r="K27" s="1"/>
      <c r="L27" s="1"/>
    </row>
    <row r="28" customFormat="false" ht="19.5" hidden="false" customHeight="true" outlineLevel="0" collapsed="false">
      <c r="A28" s="1"/>
      <c r="B28" s="1"/>
      <c r="C28" s="1"/>
      <c r="D28" s="1"/>
      <c r="E28" s="1"/>
      <c r="F28" s="1"/>
      <c r="G28" s="1"/>
      <c r="H28" s="1"/>
      <c r="I28" s="1"/>
      <c r="J28" s="1"/>
      <c r="K28" s="1"/>
      <c r="L28" s="1"/>
    </row>
    <row r="29" customFormat="false" ht="19.5" hidden="false" customHeight="true" outlineLevel="0" collapsed="false">
      <c r="A29" s="1"/>
      <c r="B29" s="1"/>
      <c r="C29" s="1"/>
      <c r="D29" s="1"/>
      <c r="E29" s="1"/>
      <c r="F29" s="1"/>
      <c r="G29" s="1"/>
      <c r="H29" s="1"/>
      <c r="I29" s="1"/>
      <c r="J29" s="1"/>
      <c r="K29" s="1"/>
      <c r="L29" s="1"/>
    </row>
    <row r="30" customFormat="false" ht="19.5" hidden="false" customHeight="true" outlineLevel="0" collapsed="false">
      <c r="A30" s="1"/>
      <c r="B30" s="1"/>
      <c r="C30" s="1"/>
      <c r="D30" s="1"/>
      <c r="E30" s="1"/>
      <c r="F30" s="1"/>
      <c r="G30" s="1"/>
      <c r="H30" s="1"/>
      <c r="I30" s="1"/>
      <c r="J30" s="1"/>
      <c r="K30" s="1"/>
      <c r="L30" s="1"/>
    </row>
    <row r="31" customFormat="false" ht="19.5" hidden="false" customHeight="true" outlineLevel="0" collapsed="false">
      <c r="A31" s="1"/>
      <c r="B31" s="1"/>
      <c r="C31" s="1"/>
      <c r="D31" s="1"/>
      <c r="E31" s="1"/>
      <c r="F31" s="1"/>
      <c r="G31" s="1"/>
      <c r="H31" s="1"/>
      <c r="I31" s="1"/>
      <c r="J31" s="1"/>
      <c r="K31" s="1"/>
      <c r="L31" s="1"/>
    </row>
    <row r="32" customFormat="false" ht="19.5" hidden="false" customHeight="true" outlineLevel="0" collapsed="false">
      <c r="A32" s="1"/>
      <c r="B32" s="1"/>
      <c r="C32" s="1"/>
      <c r="D32" s="1"/>
      <c r="E32" s="1"/>
      <c r="F32" s="1"/>
      <c r="G32" s="1"/>
      <c r="H32" s="1"/>
      <c r="I32" s="1"/>
      <c r="J32" s="1"/>
      <c r="K32" s="1"/>
      <c r="L32" s="1"/>
    </row>
    <row r="33" customFormat="false" ht="19.5" hidden="false" customHeight="true" outlineLevel="0" collapsed="false">
      <c r="A33" s="1"/>
      <c r="B33" s="1"/>
      <c r="C33" s="1"/>
      <c r="D33" s="1"/>
      <c r="E33" s="1"/>
      <c r="F33" s="1"/>
      <c r="G33" s="1"/>
      <c r="H33" s="1"/>
      <c r="I33" s="1"/>
      <c r="J33" s="1"/>
      <c r="K33" s="1"/>
      <c r="L33" s="1"/>
    </row>
  </sheetData>
  <sheetProtection sheet="true" password="DEF8" formatColumns="false" formatRows="false" sort="false" autoFilter="false"/>
  <mergeCells count="7">
    <mergeCell ref="B6:F6"/>
    <mergeCell ref="B7:F9"/>
    <mergeCell ref="B11:F11"/>
    <mergeCell ref="B13:F13"/>
    <mergeCell ref="C15:E15"/>
    <mergeCell ref="B17:F17"/>
    <mergeCell ref="B19:F2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8"/>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54"/>
    <col collapsed="false" customWidth="true" hidden="false" outlineLevel="0" max="4" min="4" style="0" width="20"/>
    <col collapsed="false" customWidth="true" hidden="false" outlineLevel="0" max="5" min="5" style="0" width="3"/>
  </cols>
  <sheetData>
    <row r="1" customFormat="false" ht="27.75" hidden="false" customHeight="true" outlineLevel="0" collapsed="false">
      <c r="A1" s="14" t="s">
        <v>5</v>
      </c>
      <c r="B1" s="14"/>
      <c r="C1" s="14"/>
      <c r="D1" s="14"/>
      <c r="E1" s="14"/>
    </row>
    <row r="2" customFormat="false" ht="15.75" hidden="false" customHeight="true" outlineLevel="0" collapsed="false">
      <c r="A2" s="15" t="s">
        <v>3</v>
      </c>
      <c r="B2" s="15"/>
      <c r="C2" s="15"/>
      <c r="D2" s="15"/>
      <c r="E2" s="15"/>
    </row>
    <row r="4" customFormat="false" ht="15" hidden="false" customHeight="false" outlineLevel="0" collapsed="false">
      <c r="B4" s="16" t="s">
        <v>6</v>
      </c>
    </row>
    <row r="5" customFormat="false" ht="15" hidden="false" customHeight="false" outlineLevel="0" collapsed="false">
      <c r="B5" s="17" t="s">
        <v>7</v>
      </c>
      <c r="C5" s="18"/>
    </row>
    <row r="6" customFormat="false" ht="15" hidden="false" customHeight="false" outlineLevel="0" collapsed="false">
      <c r="B6" s="17" t="s">
        <v>8</v>
      </c>
      <c r="C6" s="18"/>
    </row>
    <row r="7" customFormat="false" ht="15" hidden="false" customHeight="false" outlineLevel="0" collapsed="false">
      <c r="B7" s="17" t="s">
        <v>9</v>
      </c>
      <c r="C7" s="18"/>
    </row>
    <row r="8" customFormat="false" ht="15" hidden="false" customHeight="false" outlineLevel="0" collapsed="false">
      <c r="B8" s="17" t="s">
        <v>10</v>
      </c>
      <c r="C8" s="19" t="n">
        <v>1</v>
      </c>
      <c r="D8" s="20" t="s">
        <v>11</v>
      </c>
    </row>
    <row r="9" customFormat="false" ht="15" hidden="false" customHeight="false" outlineLevel="0" collapsed="false">
      <c r="B9" s="17" t="s">
        <v>12</v>
      </c>
      <c r="C9" s="18" t="s">
        <v>13</v>
      </c>
    </row>
    <row r="11" customFormat="false" ht="15" hidden="false" customHeight="false" outlineLevel="0" collapsed="false">
      <c r="B11" s="16" t="s">
        <v>14</v>
      </c>
    </row>
    <row r="12" customFormat="false" ht="37.5" hidden="false" customHeight="true" outlineLevel="0" collapsed="false">
      <c r="B12" s="21" t="s">
        <v>15</v>
      </c>
      <c r="C12" s="21"/>
      <c r="D12" s="21"/>
    </row>
    <row r="13" customFormat="false" ht="52.5" hidden="false" customHeight="true" outlineLevel="0" collapsed="false">
      <c r="B13" s="21" t="s">
        <v>16</v>
      </c>
      <c r="C13" s="21"/>
      <c r="D13" s="21"/>
    </row>
    <row r="14" customFormat="false" ht="37.5" hidden="false" customHeight="true" outlineLevel="0" collapsed="false">
      <c r="B14" s="21" t="s">
        <v>17</v>
      </c>
      <c r="C14" s="21"/>
      <c r="D14" s="21"/>
    </row>
    <row r="15" customFormat="false" ht="52.5" hidden="false" customHeight="true" outlineLevel="0" collapsed="false">
      <c r="B15" s="21" t="s">
        <v>18</v>
      </c>
      <c r="C15" s="21"/>
      <c r="D15" s="21"/>
    </row>
    <row r="16" customFormat="false" ht="67.5" hidden="false" customHeight="true" outlineLevel="0" collapsed="false">
      <c r="B16" s="21" t="s">
        <v>19</v>
      </c>
      <c r="C16" s="21"/>
      <c r="D16" s="21"/>
    </row>
    <row r="17" customFormat="false" ht="37.5" hidden="false" customHeight="true" outlineLevel="0" collapsed="false">
      <c r="B17" s="21" t="s">
        <v>20</v>
      </c>
      <c r="C17" s="21"/>
      <c r="D17" s="21"/>
    </row>
    <row r="19" customFormat="false" ht="15" hidden="false" customHeight="false" outlineLevel="0" collapsed="false">
      <c r="B19" s="16" t="s">
        <v>21</v>
      </c>
    </row>
    <row r="20" customFormat="false" ht="15" hidden="false" customHeight="false" outlineLevel="0" collapsed="false">
      <c r="B20" s="22" t="s">
        <v>22</v>
      </c>
      <c r="C20" s="23" t="s">
        <v>23</v>
      </c>
      <c r="D20" s="23"/>
    </row>
    <row r="21" customFormat="false" ht="15" hidden="false" customHeight="false" outlineLevel="0" collapsed="false">
      <c r="B21" s="24" t="s">
        <v>24</v>
      </c>
      <c r="C21" s="23" t="s">
        <v>25</v>
      </c>
      <c r="D21" s="23"/>
    </row>
    <row r="22" customFormat="false" ht="15" hidden="false" customHeight="false" outlineLevel="0" collapsed="false">
      <c r="B22" s="25" t="s">
        <v>26</v>
      </c>
      <c r="C22" s="23" t="s">
        <v>27</v>
      </c>
      <c r="D22" s="23"/>
    </row>
    <row r="23" customFormat="false" ht="15" hidden="false" customHeight="false" outlineLevel="0" collapsed="false">
      <c r="B23" s="26" t="s">
        <v>28</v>
      </c>
      <c r="C23" s="23" t="s">
        <v>29</v>
      </c>
      <c r="D23" s="23"/>
    </row>
    <row r="24" customFormat="false" ht="15" hidden="false" customHeight="false" outlineLevel="0" collapsed="false">
      <c r="B24" s="27" t="s">
        <v>30</v>
      </c>
      <c r="C24" s="23" t="s">
        <v>31</v>
      </c>
      <c r="D24" s="23"/>
    </row>
    <row r="26" customFormat="false" ht="15" hidden="false" customHeight="false" outlineLevel="0" collapsed="false">
      <c r="B26" s="28" t="s">
        <v>32</v>
      </c>
    </row>
    <row r="27" customFormat="false" ht="73.5" hidden="false" customHeight="true" outlineLevel="0" collapsed="false">
      <c r="B27" s="29" t="s">
        <v>33</v>
      </c>
      <c r="C27" s="29"/>
      <c r="D27" s="29"/>
    </row>
    <row r="28" customFormat="false" ht="15" hidden="false" customHeight="false" outlineLevel="0" collapsed="false">
      <c r="B28" s="30" t="str">
        <f aca="false">HYPERLINK("https://digitaltactics.au/privacy","Privacy policy  ·  digitaltactics.au/privacy")</f>
        <v>Privacy policy  ·  digitaltactics.au/privacy</v>
      </c>
    </row>
  </sheetData>
  <sheetProtection sheet="true" password="DEF8" formatColumns="false" formatRows="false" sort="false" autoFilter="false"/>
  <mergeCells count="14">
    <mergeCell ref="A1:E1"/>
    <mergeCell ref="A2:E2"/>
    <mergeCell ref="B12:D12"/>
    <mergeCell ref="B13:D13"/>
    <mergeCell ref="B14:D14"/>
    <mergeCell ref="B15:D15"/>
    <mergeCell ref="B16:D16"/>
    <mergeCell ref="B17:D17"/>
    <mergeCell ref="C20:D20"/>
    <mergeCell ref="C21:D21"/>
    <mergeCell ref="C22:D22"/>
    <mergeCell ref="C23:D23"/>
    <mergeCell ref="C24:D24"/>
    <mergeCell ref="B27:D27"/>
  </mergeCells>
  <dataValidations count="1">
    <dataValidation allowBlank="false" errorStyle="stop" operator="between" prompt="Choose 1, 2 or 3. The assessment focuses on every requirement up to and including this level; higher levels are greyed out." promptTitle="Target maturity level" showDropDown="false" showErrorMessage="false" showInputMessage="true" sqref="C8" type="list">
      <formula1>"1,2,3"</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16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9"/>
    <col collapsed="false" customWidth="true" hidden="false" outlineLevel="0" max="3" min="3" style="0" width="70"/>
    <col collapsed="false" customWidth="true" hidden="false" outlineLevel="0" max="4" min="4" style="0" width="16"/>
    <col collapsed="false" customWidth="true" hidden="false" outlineLevel="0" max="6" min="5" style="0" width="36"/>
    <col collapsed="false" customWidth="true" hidden="true" outlineLevel="0" max="11" min="8" style="0" width="22"/>
  </cols>
  <sheetData>
    <row r="1" customFormat="false" ht="27.75" hidden="false" customHeight="true" outlineLevel="0" collapsed="false">
      <c r="A1" s="31" t="s">
        <v>34</v>
      </c>
      <c r="B1" s="31"/>
      <c r="C1" s="31"/>
      <c r="D1" s="31"/>
      <c r="E1" s="31"/>
      <c r="F1" s="31"/>
    </row>
    <row r="2" customFormat="false" ht="15.75" hidden="false" customHeight="true" outlineLevel="0" collapsed="false">
      <c r="A2" s="32" t="s">
        <v>35</v>
      </c>
      <c r="B2" s="32"/>
      <c r="C2" s="32"/>
      <c r="D2" s="32"/>
      <c r="E2" s="32"/>
      <c r="F2" s="32"/>
      <c r="K2" s="0" t="n">
        <f aca="false">'Start Here'!$C$8</f>
        <v>1</v>
      </c>
    </row>
    <row r="4" customFormat="false" ht="24" hidden="false" customHeight="true" outlineLevel="0" collapsed="false">
      <c r="A4" s="33" t="s">
        <v>36</v>
      </c>
      <c r="B4" s="33" t="s">
        <v>37</v>
      </c>
      <c r="C4" s="33" t="s">
        <v>38</v>
      </c>
      <c r="D4" s="33" t="s">
        <v>39</v>
      </c>
      <c r="E4" s="33" t="s">
        <v>40</v>
      </c>
      <c r="F4" s="33" t="s">
        <v>41</v>
      </c>
    </row>
    <row r="5" customFormat="false" ht="21.75" hidden="false" customHeight="true" outlineLevel="0" collapsed="false">
      <c r="A5" s="34" t="s">
        <v>42</v>
      </c>
      <c r="B5" s="34"/>
      <c r="C5" s="34"/>
      <c r="D5" s="34"/>
      <c r="E5" s="34"/>
      <c r="F5" s="34"/>
    </row>
    <row r="6" customFormat="false" ht="45.75" hidden="false" customHeight="true" outlineLevel="0" collapsed="false">
      <c r="A6" s="35" t="s">
        <v>43</v>
      </c>
      <c r="B6" s="35" t="s">
        <v>44</v>
      </c>
      <c r="C6" s="36" t="s">
        <v>45</v>
      </c>
      <c r="D6" s="37" t="s">
        <v>30</v>
      </c>
      <c r="E6" s="38"/>
      <c r="F6" s="38"/>
      <c r="H6" s="0" t="s">
        <v>46</v>
      </c>
      <c r="I6" s="0" t="n">
        <v>1</v>
      </c>
      <c r="J6" s="0" t="str">
        <f aca="false">IF(OR($D6="Not Met",$D6="Partially Met"),COUNTIF($D$5:$D6,"Not Met")+COUNTIF($D$5:$D6,"Partially Met"),"")</f>
        <v/>
      </c>
    </row>
    <row r="7" customFormat="false" ht="45.75" hidden="false" customHeight="true" outlineLevel="0" collapsed="false">
      <c r="A7" s="35" t="s">
        <v>47</v>
      </c>
      <c r="B7" s="35" t="s">
        <v>44</v>
      </c>
      <c r="C7" s="36" t="s">
        <v>48</v>
      </c>
      <c r="D7" s="37" t="s">
        <v>30</v>
      </c>
      <c r="E7" s="38"/>
      <c r="F7" s="38"/>
      <c r="H7" s="0" t="s">
        <v>46</v>
      </c>
      <c r="I7" s="0" t="n">
        <v>1</v>
      </c>
      <c r="J7" s="0" t="str">
        <f aca="false">IF(OR($D7="Not Met",$D7="Partially Met"),COUNTIF($D$5:$D7,"Not Met")+COUNTIF($D$5:$D7,"Partially Met"),"")</f>
        <v/>
      </c>
    </row>
    <row r="8" customFormat="false" ht="45.75" hidden="false" customHeight="true" outlineLevel="0" collapsed="false">
      <c r="A8" s="35" t="s">
        <v>49</v>
      </c>
      <c r="B8" s="35" t="s">
        <v>44</v>
      </c>
      <c r="C8" s="36" t="s">
        <v>50</v>
      </c>
      <c r="D8" s="37" t="s">
        <v>30</v>
      </c>
      <c r="E8" s="38"/>
      <c r="F8" s="38"/>
      <c r="H8" s="0" t="s">
        <v>46</v>
      </c>
      <c r="I8" s="0" t="n">
        <v>1</v>
      </c>
      <c r="J8" s="0" t="str">
        <f aca="false">IF(OR($D8="Not Met",$D8="Partially Met"),COUNTIF($D$5:$D8,"Not Met")+COUNTIF($D$5:$D8,"Partially Met"),"")</f>
        <v/>
      </c>
    </row>
    <row r="9" customFormat="false" ht="45.75" hidden="false" customHeight="true" outlineLevel="0" collapsed="false">
      <c r="A9" s="35" t="s">
        <v>51</v>
      </c>
      <c r="B9" s="35" t="s">
        <v>44</v>
      </c>
      <c r="C9" s="36" t="s">
        <v>52</v>
      </c>
      <c r="D9" s="37" t="s">
        <v>30</v>
      </c>
      <c r="E9" s="38"/>
      <c r="F9" s="38"/>
      <c r="H9" s="0" t="s">
        <v>46</v>
      </c>
      <c r="I9" s="0" t="n">
        <v>1</v>
      </c>
      <c r="J9" s="0" t="str">
        <f aca="false">IF(OR($D9="Not Met",$D9="Partially Met"),COUNTIF($D$5:$D9,"Not Met")+COUNTIF($D$5:$D9,"Partially Met"),"")</f>
        <v/>
      </c>
    </row>
    <row r="10" customFormat="false" ht="45.75" hidden="false" customHeight="true" outlineLevel="0" collapsed="false">
      <c r="A10" s="35" t="s">
        <v>53</v>
      </c>
      <c r="B10" s="35" t="s">
        <v>44</v>
      </c>
      <c r="C10" s="36" t="s">
        <v>54</v>
      </c>
      <c r="D10" s="37" t="s">
        <v>30</v>
      </c>
      <c r="E10" s="38"/>
      <c r="F10" s="38"/>
      <c r="H10" s="0" t="s">
        <v>46</v>
      </c>
      <c r="I10" s="0" t="n">
        <v>1</v>
      </c>
      <c r="J10" s="0" t="str">
        <f aca="false">IF(OR($D10="Not Met",$D10="Partially Met"),COUNTIF($D$5:$D10,"Not Met")+COUNTIF($D$5:$D10,"Partially Met"),"")</f>
        <v/>
      </c>
    </row>
    <row r="11" customFormat="false" ht="45.75" hidden="false" customHeight="true" outlineLevel="0" collapsed="false">
      <c r="A11" s="35" t="s">
        <v>55</v>
      </c>
      <c r="B11" s="35" t="s">
        <v>44</v>
      </c>
      <c r="C11" s="36" t="s">
        <v>56</v>
      </c>
      <c r="D11" s="37" t="s">
        <v>30</v>
      </c>
      <c r="E11" s="38"/>
      <c r="F11" s="38"/>
      <c r="H11" s="0" t="s">
        <v>46</v>
      </c>
      <c r="I11" s="0" t="n">
        <v>1</v>
      </c>
      <c r="J11" s="0" t="str">
        <f aca="false">IF(OR($D11="Not Met",$D11="Partially Met"),COUNTIF($D$5:$D11,"Not Met")+COUNTIF($D$5:$D11,"Partially Met"),"")</f>
        <v/>
      </c>
    </row>
    <row r="12" customFormat="false" ht="45.75" hidden="false" customHeight="true" outlineLevel="0" collapsed="false">
      <c r="A12" s="35" t="s">
        <v>57</v>
      </c>
      <c r="B12" s="35" t="s">
        <v>44</v>
      </c>
      <c r="C12" s="36" t="s">
        <v>58</v>
      </c>
      <c r="D12" s="37" t="s">
        <v>30</v>
      </c>
      <c r="E12" s="38"/>
      <c r="F12" s="38"/>
      <c r="H12" s="0" t="s">
        <v>46</v>
      </c>
      <c r="I12" s="0" t="n">
        <v>1</v>
      </c>
      <c r="J12" s="0" t="str">
        <f aca="false">IF(OR($D12="Not Met",$D12="Partially Met"),COUNTIF($D$5:$D12,"Not Met")+COUNTIF($D$5:$D12,"Partially Met"),"")</f>
        <v/>
      </c>
    </row>
    <row r="13" customFormat="false" ht="45.75" hidden="false" customHeight="true" outlineLevel="0" collapsed="false">
      <c r="A13" s="35" t="s">
        <v>59</v>
      </c>
      <c r="B13" s="35" t="s">
        <v>44</v>
      </c>
      <c r="C13" s="36" t="s">
        <v>60</v>
      </c>
      <c r="D13" s="37" t="s">
        <v>30</v>
      </c>
      <c r="E13" s="38"/>
      <c r="F13" s="38"/>
      <c r="H13" s="0" t="s">
        <v>46</v>
      </c>
      <c r="I13" s="0" t="n">
        <v>1</v>
      </c>
      <c r="J13" s="0" t="str">
        <f aca="false">IF(OR($D13="Not Met",$D13="Partially Met"),COUNTIF($D$5:$D13,"Not Met")+COUNTIF($D$5:$D13,"Partially Met"),"")</f>
        <v/>
      </c>
    </row>
    <row r="14" customFormat="false" ht="45.75" hidden="false" customHeight="true" outlineLevel="0" collapsed="false">
      <c r="A14" s="35" t="s">
        <v>61</v>
      </c>
      <c r="B14" s="35" t="s">
        <v>44</v>
      </c>
      <c r="C14" s="36" t="s">
        <v>62</v>
      </c>
      <c r="D14" s="37" t="s">
        <v>30</v>
      </c>
      <c r="E14" s="38"/>
      <c r="F14" s="38"/>
      <c r="H14" s="0" t="s">
        <v>46</v>
      </c>
      <c r="I14" s="0" t="n">
        <v>1</v>
      </c>
      <c r="J14" s="0" t="str">
        <f aca="false">IF(OR($D14="Not Met",$D14="Partially Met"),COUNTIF($D$5:$D14,"Not Met")+COUNTIF($D$5:$D14,"Partially Met"),"")</f>
        <v/>
      </c>
    </row>
    <row r="15" customFormat="false" ht="45.75" hidden="false" customHeight="true" outlineLevel="0" collapsed="false">
      <c r="A15" s="35" t="s">
        <v>63</v>
      </c>
      <c r="B15" s="35" t="s">
        <v>64</v>
      </c>
      <c r="C15" s="36" t="s">
        <v>65</v>
      </c>
      <c r="D15" s="37" t="s">
        <v>30</v>
      </c>
      <c r="E15" s="38"/>
      <c r="F15" s="38"/>
      <c r="H15" s="0" t="s">
        <v>46</v>
      </c>
      <c r="I15" s="0" t="n">
        <v>2</v>
      </c>
      <c r="J15" s="0" t="str">
        <f aca="false">IF(OR($D15="Not Met",$D15="Partially Met"),COUNTIF($D$5:$D15,"Not Met")+COUNTIF($D$5:$D15,"Partially Met"),"")</f>
        <v/>
      </c>
    </row>
    <row r="16" customFormat="false" ht="45.75" hidden="false" customHeight="true" outlineLevel="0" collapsed="false">
      <c r="A16" s="35" t="s">
        <v>66</v>
      </c>
      <c r="B16" s="35" t="s">
        <v>64</v>
      </c>
      <c r="C16" s="36" t="s">
        <v>67</v>
      </c>
      <c r="D16" s="37" t="s">
        <v>30</v>
      </c>
      <c r="E16" s="38"/>
      <c r="F16" s="38"/>
      <c r="H16" s="0" t="s">
        <v>46</v>
      </c>
      <c r="I16" s="0" t="n">
        <v>2</v>
      </c>
      <c r="J16" s="0" t="str">
        <f aca="false">IF(OR($D16="Not Met",$D16="Partially Met"),COUNTIF($D$5:$D16,"Not Met")+COUNTIF($D$5:$D16,"Partially Met"),"")</f>
        <v/>
      </c>
    </row>
    <row r="17" customFormat="false" ht="45.75" hidden="false" customHeight="true" outlineLevel="0" collapsed="false">
      <c r="A17" s="35" t="s">
        <v>68</v>
      </c>
      <c r="B17" s="35" t="s">
        <v>69</v>
      </c>
      <c r="C17" s="36" t="s">
        <v>70</v>
      </c>
      <c r="D17" s="37" t="s">
        <v>30</v>
      </c>
      <c r="E17" s="38"/>
      <c r="F17" s="38"/>
      <c r="H17" s="0" t="s">
        <v>46</v>
      </c>
      <c r="I17" s="0" t="n">
        <v>3</v>
      </c>
      <c r="J17" s="0" t="str">
        <f aca="false">IF(OR($D17="Not Met",$D17="Partially Met"),COUNTIF($D$5:$D17,"Not Met")+COUNTIF($D$5:$D17,"Partially Met"),"")</f>
        <v/>
      </c>
    </row>
    <row r="18" customFormat="false" ht="45.75" hidden="false" customHeight="true" outlineLevel="0" collapsed="false">
      <c r="A18" s="35" t="s">
        <v>71</v>
      </c>
      <c r="B18" s="35" t="s">
        <v>69</v>
      </c>
      <c r="C18" s="36" t="s">
        <v>72</v>
      </c>
      <c r="D18" s="37" t="s">
        <v>30</v>
      </c>
      <c r="E18" s="38"/>
      <c r="F18" s="38"/>
      <c r="H18" s="0" t="s">
        <v>46</v>
      </c>
      <c r="I18" s="0" t="n">
        <v>3</v>
      </c>
      <c r="J18" s="0" t="str">
        <f aca="false">IF(OR($D18="Not Met",$D18="Partially Met"),COUNTIF($D$5:$D18,"Not Met")+COUNTIF($D$5:$D18,"Partially Met"),"")</f>
        <v/>
      </c>
    </row>
    <row r="19" customFormat="false" ht="45.75" hidden="false" customHeight="true" outlineLevel="0" collapsed="false">
      <c r="A19" s="35" t="s">
        <v>73</v>
      </c>
      <c r="B19" s="35" t="s">
        <v>69</v>
      </c>
      <c r="C19" s="36" t="s">
        <v>74</v>
      </c>
      <c r="D19" s="37" t="s">
        <v>30</v>
      </c>
      <c r="E19" s="38"/>
      <c r="F19" s="38"/>
      <c r="H19" s="0" t="s">
        <v>46</v>
      </c>
      <c r="I19" s="0" t="n">
        <v>3</v>
      </c>
      <c r="J19" s="0" t="str">
        <f aca="false">IF(OR($D19="Not Met",$D19="Partially Met"),COUNTIF($D$5:$D19,"Not Met")+COUNTIF($D$5:$D19,"Partially Met"),"")</f>
        <v/>
      </c>
    </row>
    <row r="20" customFormat="false" ht="21.75" hidden="false" customHeight="true" outlineLevel="0" collapsed="false">
      <c r="A20" s="34" t="s">
        <v>75</v>
      </c>
      <c r="B20" s="34"/>
      <c r="C20" s="34"/>
      <c r="D20" s="34"/>
      <c r="E20" s="34"/>
      <c r="F20" s="34"/>
    </row>
    <row r="21" customFormat="false" ht="45.75" hidden="false" customHeight="true" outlineLevel="0" collapsed="false">
      <c r="A21" s="35" t="s">
        <v>76</v>
      </c>
      <c r="B21" s="35" t="s">
        <v>44</v>
      </c>
      <c r="C21" s="36" t="s">
        <v>45</v>
      </c>
      <c r="D21" s="37" t="s">
        <v>30</v>
      </c>
      <c r="E21" s="38"/>
      <c r="F21" s="38"/>
      <c r="H21" s="0" t="s">
        <v>77</v>
      </c>
      <c r="I21" s="0" t="n">
        <v>1</v>
      </c>
      <c r="J21" s="0" t="str">
        <f aca="false">IF(OR($D21="Not Met",$D21="Partially Met"),COUNTIF($D$5:$D21,"Not Met")+COUNTIF($D$5:$D21,"Partially Met"),"")</f>
        <v/>
      </c>
    </row>
    <row r="22" customFormat="false" ht="45.75" hidden="false" customHeight="true" outlineLevel="0" collapsed="false">
      <c r="A22" s="35" t="s">
        <v>78</v>
      </c>
      <c r="B22" s="35" t="s">
        <v>44</v>
      </c>
      <c r="C22" s="36" t="s">
        <v>48</v>
      </c>
      <c r="D22" s="37" t="s">
        <v>30</v>
      </c>
      <c r="E22" s="38"/>
      <c r="F22" s="38"/>
      <c r="H22" s="0" t="s">
        <v>77</v>
      </c>
      <c r="I22" s="0" t="n">
        <v>1</v>
      </c>
      <c r="J22" s="0" t="str">
        <f aca="false">IF(OR($D22="Not Met",$D22="Partially Met"),COUNTIF($D$5:$D22,"Not Met")+COUNTIF($D$5:$D22,"Partially Met"),"")</f>
        <v/>
      </c>
    </row>
    <row r="23" customFormat="false" ht="45.75" hidden="false" customHeight="true" outlineLevel="0" collapsed="false">
      <c r="A23" s="35" t="s">
        <v>79</v>
      </c>
      <c r="B23" s="35" t="s">
        <v>44</v>
      </c>
      <c r="C23" s="36" t="s">
        <v>80</v>
      </c>
      <c r="D23" s="37" t="s">
        <v>30</v>
      </c>
      <c r="E23" s="38"/>
      <c r="F23" s="38"/>
      <c r="H23" s="0" t="s">
        <v>77</v>
      </c>
      <c r="I23" s="0" t="n">
        <v>1</v>
      </c>
      <c r="J23" s="0" t="str">
        <f aca="false">IF(OR($D23="Not Met",$D23="Partially Met"),COUNTIF($D$5:$D23,"Not Met")+COUNTIF($D$5:$D23,"Partially Met"),"")</f>
        <v/>
      </c>
    </row>
    <row r="24" customFormat="false" ht="45.75" hidden="false" customHeight="true" outlineLevel="0" collapsed="false">
      <c r="A24" s="35" t="s">
        <v>81</v>
      </c>
      <c r="B24" s="35" t="s">
        <v>44</v>
      </c>
      <c r="C24" s="36" t="s">
        <v>82</v>
      </c>
      <c r="D24" s="37" t="s">
        <v>30</v>
      </c>
      <c r="E24" s="38"/>
      <c r="F24" s="38"/>
      <c r="H24" s="0" t="s">
        <v>77</v>
      </c>
      <c r="I24" s="0" t="n">
        <v>1</v>
      </c>
      <c r="J24" s="0" t="str">
        <f aca="false">IF(OR($D24="Not Met",$D24="Partially Met"),COUNTIF($D$5:$D24,"Not Met")+COUNTIF($D$5:$D24,"Partially Met"),"")</f>
        <v/>
      </c>
    </row>
    <row r="25" customFormat="false" ht="45.75" hidden="false" customHeight="true" outlineLevel="0" collapsed="false">
      <c r="A25" s="35" t="s">
        <v>83</v>
      </c>
      <c r="B25" s="35" t="s">
        <v>44</v>
      </c>
      <c r="C25" s="36" t="s">
        <v>84</v>
      </c>
      <c r="D25" s="37" t="s">
        <v>30</v>
      </c>
      <c r="E25" s="38"/>
      <c r="F25" s="38"/>
      <c r="H25" s="0" t="s">
        <v>77</v>
      </c>
      <c r="I25" s="0" t="n">
        <v>1</v>
      </c>
      <c r="J25" s="0" t="str">
        <f aca="false">IF(OR($D25="Not Met",$D25="Partially Met"),COUNTIF($D$5:$D25,"Not Met")+COUNTIF($D$5:$D25,"Partially Met"),"")</f>
        <v/>
      </c>
    </row>
    <row r="26" customFormat="false" ht="45.75" hidden="false" customHeight="true" outlineLevel="0" collapsed="false">
      <c r="A26" s="35" t="s">
        <v>85</v>
      </c>
      <c r="B26" s="35" t="s">
        <v>44</v>
      </c>
      <c r="C26" s="36" t="s">
        <v>86</v>
      </c>
      <c r="D26" s="37" t="s">
        <v>30</v>
      </c>
      <c r="E26" s="38"/>
      <c r="F26" s="38"/>
      <c r="H26" s="0" t="s">
        <v>77</v>
      </c>
      <c r="I26" s="0" t="n">
        <v>1</v>
      </c>
      <c r="J26" s="0" t="str">
        <f aca="false">IF(OR($D26="Not Met",$D26="Partially Met"),COUNTIF($D$5:$D26,"Not Met")+COUNTIF($D$5:$D26,"Partially Met"),"")</f>
        <v/>
      </c>
    </row>
    <row r="27" customFormat="false" ht="45.75" hidden="false" customHeight="true" outlineLevel="0" collapsed="false">
      <c r="A27" s="35" t="s">
        <v>87</v>
      </c>
      <c r="B27" s="35" t="s">
        <v>44</v>
      </c>
      <c r="C27" s="36" t="s">
        <v>88</v>
      </c>
      <c r="D27" s="37" t="s">
        <v>30</v>
      </c>
      <c r="E27" s="38"/>
      <c r="F27" s="38"/>
      <c r="H27" s="0" t="s">
        <v>77</v>
      </c>
      <c r="I27" s="0" t="n">
        <v>1</v>
      </c>
      <c r="J27" s="0" t="str">
        <f aca="false">IF(OR($D27="Not Met",$D27="Partially Met"),COUNTIF($D$5:$D27,"Not Met")+COUNTIF($D$5:$D27,"Partially Met"),"")</f>
        <v/>
      </c>
    </row>
    <row r="28" customFormat="false" ht="45.75" hidden="false" customHeight="true" outlineLevel="0" collapsed="false">
      <c r="A28" s="35" t="s">
        <v>89</v>
      </c>
      <c r="B28" s="35" t="s">
        <v>44</v>
      </c>
      <c r="C28" s="36" t="s">
        <v>90</v>
      </c>
      <c r="D28" s="37" t="s">
        <v>30</v>
      </c>
      <c r="E28" s="38"/>
      <c r="F28" s="38"/>
      <c r="H28" s="0" t="s">
        <v>77</v>
      </c>
      <c r="I28" s="0" t="n">
        <v>1</v>
      </c>
      <c r="J28" s="0" t="str">
        <f aca="false">IF(OR($D28="Not Met",$D28="Partially Met"),COUNTIF($D$5:$D28,"Not Met")+COUNTIF($D$5:$D28,"Partially Met"),"")</f>
        <v/>
      </c>
    </row>
    <row r="29" customFormat="false" ht="45.75" hidden="false" customHeight="true" outlineLevel="0" collapsed="false">
      <c r="A29" s="35" t="s">
        <v>91</v>
      </c>
      <c r="B29" s="35" t="s">
        <v>69</v>
      </c>
      <c r="C29" s="36" t="s">
        <v>92</v>
      </c>
      <c r="D29" s="37" t="s">
        <v>30</v>
      </c>
      <c r="E29" s="38"/>
      <c r="F29" s="38"/>
      <c r="H29" s="0" t="s">
        <v>77</v>
      </c>
      <c r="I29" s="0" t="n">
        <v>3</v>
      </c>
      <c r="J29" s="0" t="str">
        <f aca="false">IF(OR($D29="Not Met",$D29="Partially Met"),COUNTIF($D$5:$D29,"Not Met")+COUNTIF($D$5:$D29,"Partially Met"),"")</f>
        <v/>
      </c>
    </row>
    <row r="30" customFormat="false" ht="45.75" hidden="false" customHeight="true" outlineLevel="0" collapsed="false">
      <c r="A30" s="35" t="s">
        <v>93</v>
      </c>
      <c r="B30" s="35" t="s">
        <v>69</v>
      </c>
      <c r="C30" s="36" t="s">
        <v>94</v>
      </c>
      <c r="D30" s="37" t="s">
        <v>30</v>
      </c>
      <c r="E30" s="38"/>
      <c r="F30" s="38"/>
      <c r="H30" s="0" t="s">
        <v>77</v>
      </c>
      <c r="I30" s="0" t="n">
        <v>3</v>
      </c>
      <c r="J30" s="0" t="str">
        <f aca="false">IF(OR($D30="Not Met",$D30="Partially Met"),COUNTIF($D$5:$D30,"Not Met")+COUNTIF($D$5:$D30,"Partially Met"),"")</f>
        <v/>
      </c>
    </row>
    <row r="31" customFormat="false" ht="45.75" hidden="false" customHeight="true" outlineLevel="0" collapsed="false">
      <c r="A31" s="35" t="s">
        <v>95</v>
      </c>
      <c r="B31" s="35" t="s">
        <v>69</v>
      </c>
      <c r="C31" s="36" t="s">
        <v>96</v>
      </c>
      <c r="D31" s="37" t="s">
        <v>30</v>
      </c>
      <c r="E31" s="38"/>
      <c r="F31" s="38"/>
      <c r="H31" s="0" t="s">
        <v>77</v>
      </c>
      <c r="I31" s="0" t="n">
        <v>3</v>
      </c>
      <c r="J31" s="0" t="str">
        <f aca="false">IF(OR($D31="Not Met",$D31="Partially Met"),COUNTIF($D$5:$D31,"Not Met")+COUNTIF($D$5:$D31,"Partially Met"),"")</f>
        <v/>
      </c>
    </row>
    <row r="32" customFormat="false" ht="45.75" hidden="false" customHeight="true" outlineLevel="0" collapsed="false">
      <c r="A32" s="35" t="s">
        <v>97</v>
      </c>
      <c r="B32" s="35" t="s">
        <v>69</v>
      </c>
      <c r="C32" s="36" t="s">
        <v>98</v>
      </c>
      <c r="D32" s="37" t="s">
        <v>30</v>
      </c>
      <c r="E32" s="38"/>
      <c r="F32" s="38"/>
      <c r="H32" s="0" t="s">
        <v>77</v>
      </c>
      <c r="I32" s="0" t="n">
        <v>3</v>
      </c>
      <c r="J32" s="0" t="str">
        <f aca="false">IF(OR($D32="Not Met",$D32="Partially Met"),COUNTIF($D$5:$D32,"Not Met")+COUNTIF($D$5:$D32,"Partially Met"),"")</f>
        <v/>
      </c>
    </row>
    <row r="33" customFormat="false" ht="45.75" hidden="false" customHeight="true" outlineLevel="0" collapsed="false">
      <c r="A33" s="35" t="s">
        <v>99</v>
      </c>
      <c r="B33" s="35" t="s">
        <v>69</v>
      </c>
      <c r="C33" s="36" t="s">
        <v>100</v>
      </c>
      <c r="D33" s="37" t="s">
        <v>30</v>
      </c>
      <c r="E33" s="38"/>
      <c r="F33" s="38"/>
      <c r="H33" s="0" t="s">
        <v>77</v>
      </c>
      <c r="I33" s="0" t="n">
        <v>3</v>
      </c>
      <c r="J33" s="0" t="str">
        <f aca="false">IF(OR($D33="Not Met",$D33="Partially Met"),COUNTIF($D$5:$D33,"Not Met")+COUNTIF($D$5:$D33,"Partially Met"),"")</f>
        <v/>
      </c>
    </row>
    <row r="34" customFormat="false" ht="45.75" hidden="false" customHeight="true" outlineLevel="0" collapsed="false">
      <c r="A34" s="35" t="s">
        <v>101</v>
      </c>
      <c r="B34" s="35" t="s">
        <v>69</v>
      </c>
      <c r="C34" s="36" t="s">
        <v>102</v>
      </c>
      <c r="D34" s="37" t="s">
        <v>30</v>
      </c>
      <c r="E34" s="38"/>
      <c r="F34" s="38"/>
      <c r="H34" s="0" t="s">
        <v>77</v>
      </c>
      <c r="I34" s="0" t="n">
        <v>3</v>
      </c>
      <c r="J34" s="0" t="str">
        <f aca="false">IF(OR($D34="Not Met",$D34="Partially Met"),COUNTIF($D$5:$D34,"Not Met")+COUNTIF($D$5:$D34,"Partially Met"),"")</f>
        <v/>
      </c>
    </row>
    <row r="35" customFormat="false" ht="45.75" hidden="false" customHeight="true" outlineLevel="0" collapsed="false">
      <c r="A35" s="35" t="s">
        <v>103</v>
      </c>
      <c r="B35" s="35" t="s">
        <v>69</v>
      </c>
      <c r="C35" s="36" t="s">
        <v>104</v>
      </c>
      <c r="D35" s="37" t="s">
        <v>30</v>
      </c>
      <c r="E35" s="38"/>
      <c r="F35" s="38"/>
      <c r="H35" s="0" t="s">
        <v>77</v>
      </c>
      <c r="I35" s="0" t="n">
        <v>3</v>
      </c>
      <c r="J35" s="0" t="str">
        <f aca="false">IF(OR($D35="Not Met",$D35="Partially Met"),COUNTIF($D$5:$D35,"Not Met")+COUNTIF($D$5:$D35,"Partially Met"),"")</f>
        <v/>
      </c>
    </row>
    <row r="36" customFormat="false" ht="45.75" hidden="false" customHeight="true" outlineLevel="0" collapsed="false">
      <c r="A36" s="35" t="s">
        <v>105</v>
      </c>
      <c r="B36" s="35" t="s">
        <v>69</v>
      </c>
      <c r="C36" s="36" t="s">
        <v>106</v>
      </c>
      <c r="D36" s="37" t="s">
        <v>30</v>
      </c>
      <c r="E36" s="38"/>
      <c r="F36" s="38"/>
      <c r="H36" s="0" t="s">
        <v>77</v>
      </c>
      <c r="I36" s="0" t="n">
        <v>3</v>
      </c>
      <c r="J36" s="0" t="str">
        <f aca="false">IF(OR($D36="Not Met",$D36="Partially Met"),COUNTIF($D$5:$D36,"Not Met")+COUNTIF($D$5:$D36,"Partially Met"),"")</f>
        <v/>
      </c>
    </row>
    <row r="37" customFormat="false" ht="45.75" hidden="false" customHeight="true" outlineLevel="0" collapsed="false">
      <c r="A37" s="35" t="s">
        <v>107</v>
      </c>
      <c r="B37" s="35" t="s">
        <v>69</v>
      </c>
      <c r="C37" s="36" t="s">
        <v>108</v>
      </c>
      <c r="D37" s="37" t="s">
        <v>30</v>
      </c>
      <c r="E37" s="38"/>
      <c r="F37" s="38"/>
      <c r="H37" s="0" t="s">
        <v>77</v>
      </c>
      <c r="I37" s="0" t="n">
        <v>3</v>
      </c>
      <c r="J37" s="0" t="str">
        <f aca="false">IF(OR($D37="Not Met",$D37="Partially Met"),COUNTIF($D$5:$D37,"Not Met")+COUNTIF($D$5:$D37,"Partially Met"),"")</f>
        <v/>
      </c>
    </row>
    <row r="38" customFormat="false" ht="21.75" hidden="false" customHeight="true" outlineLevel="0" collapsed="false">
      <c r="A38" s="34" t="s">
        <v>109</v>
      </c>
      <c r="B38" s="34"/>
      <c r="C38" s="34"/>
      <c r="D38" s="34"/>
      <c r="E38" s="34"/>
      <c r="F38" s="34"/>
    </row>
    <row r="39" customFormat="false" ht="45.75" hidden="false" customHeight="true" outlineLevel="0" collapsed="false">
      <c r="A39" s="35" t="s">
        <v>110</v>
      </c>
      <c r="B39" s="35" t="s">
        <v>44</v>
      </c>
      <c r="C39" s="36" t="s">
        <v>111</v>
      </c>
      <c r="D39" s="37" t="s">
        <v>30</v>
      </c>
      <c r="E39" s="38"/>
      <c r="F39" s="38"/>
      <c r="H39" s="0" t="s">
        <v>112</v>
      </c>
      <c r="I39" s="0" t="n">
        <v>1</v>
      </c>
      <c r="J39" s="0" t="str">
        <f aca="false">IF(OR($D39="Not Met",$D39="Partially Met"),COUNTIF($D$5:$D39,"Not Met")+COUNTIF($D$5:$D39,"Partially Met"),"")</f>
        <v/>
      </c>
    </row>
    <row r="40" customFormat="false" ht="45.75" hidden="false" customHeight="true" outlineLevel="0" collapsed="false">
      <c r="A40" s="35" t="s">
        <v>113</v>
      </c>
      <c r="B40" s="35" t="s">
        <v>44</v>
      </c>
      <c r="C40" s="36" t="s">
        <v>114</v>
      </c>
      <c r="D40" s="37" t="s">
        <v>30</v>
      </c>
      <c r="E40" s="38"/>
      <c r="F40" s="38"/>
      <c r="H40" s="0" t="s">
        <v>112</v>
      </c>
      <c r="I40" s="0" t="n">
        <v>1</v>
      </c>
      <c r="J40" s="0" t="str">
        <f aca="false">IF(OR($D40="Not Met",$D40="Partially Met"),COUNTIF($D$5:$D40,"Not Met")+COUNTIF($D$5:$D40,"Partially Met"),"")</f>
        <v/>
      </c>
    </row>
    <row r="41" customFormat="false" ht="45.75" hidden="false" customHeight="true" outlineLevel="0" collapsed="false">
      <c r="A41" s="35" t="s">
        <v>115</v>
      </c>
      <c r="B41" s="35" t="s">
        <v>44</v>
      </c>
      <c r="C41" s="36" t="s">
        <v>116</v>
      </c>
      <c r="D41" s="37" t="s">
        <v>30</v>
      </c>
      <c r="E41" s="38"/>
      <c r="F41" s="38"/>
      <c r="H41" s="0" t="s">
        <v>112</v>
      </c>
      <c r="I41" s="0" t="n">
        <v>1</v>
      </c>
      <c r="J41" s="0" t="str">
        <f aca="false">IF(OR($D41="Not Met",$D41="Partially Met"),COUNTIF($D$5:$D41,"Not Met")+COUNTIF($D$5:$D41,"Partially Met"),"")</f>
        <v/>
      </c>
    </row>
    <row r="42" customFormat="false" ht="45.75" hidden="false" customHeight="true" outlineLevel="0" collapsed="false">
      <c r="A42" s="35" t="s">
        <v>117</v>
      </c>
      <c r="B42" s="35" t="s">
        <v>44</v>
      </c>
      <c r="C42" s="36" t="s">
        <v>118</v>
      </c>
      <c r="D42" s="37" t="s">
        <v>30</v>
      </c>
      <c r="E42" s="38"/>
      <c r="F42" s="38"/>
      <c r="H42" s="0" t="s">
        <v>112</v>
      </c>
      <c r="I42" s="0" t="n">
        <v>1</v>
      </c>
      <c r="J42" s="0" t="str">
        <f aca="false">IF(OR($D42="Not Met",$D42="Partially Met"),COUNTIF($D$5:$D42,"Not Met")+COUNTIF($D$5:$D42,"Partially Met"),"")</f>
        <v/>
      </c>
    </row>
    <row r="43" customFormat="false" ht="45.75" hidden="false" customHeight="true" outlineLevel="0" collapsed="false">
      <c r="A43" s="35" t="s">
        <v>119</v>
      </c>
      <c r="B43" s="35" t="s">
        <v>44</v>
      </c>
      <c r="C43" s="36" t="s">
        <v>120</v>
      </c>
      <c r="D43" s="37" t="s">
        <v>30</v>
      </c>
      <c r="E43" s="38"/>
      <c r="F43" s="38"/>
      <c r="H43" s="0" t="s">
        <v>112</v>
      </c>
      <c r="I43" s="0" t="n">
        <v>1</v>
      </c>
      <c r="J43" s="0" t="str">
        <f aca="false">IF(OR($D43="Not Met",$D43="Partially Met"),COUNTIF($D$5:$D43,"Not Met")+COUNTIF($D$5:$D43,"Partially Met"),"")</f>
        <v/>
      </c>
    </row>
    <row r="44" customFormat="false" ht="45.75" hidden="false" customHeight="true" outlineLevel="0" collapsed="false">
      <c r="A44" s="35" t="s">
        <v>121</v>
      </c>
      <c r="B44" s="35" t="s">
        <v>44</v>
      </c>
      <c r="C44" s="36" t="s">
        <v>122</v>
      </c>
      <c r="D44" s="37" t="s">
        <v>30</v>
      </c>
      <c r="E44" s="38"/>
      <c r="F44" s="38"/>
      <c r="H44" s="0" t="s">
        <v>112</v>
      </c>
      <c r="I44" s="0" t="n">
        <v>1</v>
      </c>
      <c r="J44" s="0" t="str">
        <f aca="false">IF(OR($D44="Not Met",$D44="Partially Met"),COUNTIF($D$5:$D44,"Not Met")+COUNTIF($D$5:$D44,"Partially Met"),"")</f>
        <v/>
      </c>
    </row>
    <row r="45" customFormat="false" ht="45.75" hidden="false" customHeight="true" outlineLevel="0" collapsed="false">
      <c r="A45" s="35" t="s">
        <v>123</v>
      </c>
      <c r="B45" s="35" t="s">
        <v>44</v>
      </c>
      <c r="C45" s="36" t="s">
        <v>124</v>
      </c>
      <c r="D45" s="37" t="s">
        <v>30</v>
      </c>
      <c r="E45" s="38"/>
      <c r="F45" s="38"/>
      <c r="H45" s="0" t="s">
        <v>112</v>
      </c>
      <c r="I45" s="0" t="n">
        <v>1</v>
      </c>
      <c r="J45" s="0" t="str">
        <f aca="false">IF(OR($D45="Not Met",$D45="Partially Met"),COUNTIF($D$5:$D45,"Not Met")+COUNTIF($D$5:$D45,"Partially Met"),"")</f>
        <v/>
      </c>
    </row>
    <row r="46" customFormat="false" ht="45.75" hidden="false" customHeight="true" outlineLevel="0" collapsed="false">
      <c r="A46" s="35" t="s">
        <v>125</v>
      </c>
      <c r="B46" s="35" t="s">
        <v>64</v>
      </c>
      <c r="C46" s="36" t="s">
        <v>126</v>
      </c>
      <c r="D46" s="37" t="s">
        <v>30</v>
      </c>
      <c r="E46" s="38"/>
      <c r="F46" s="38"/>
      <c r="H46" s="0" t="s">
        <v>112</v>
      </c>
      <c r="I46" s="0" t="n">
        <v>2</v>
      </c>
      <c r="J46" s="0" t="str">
        <f aca="false">IF(OR($D46="Not Met",$D46="Partially Met"),COUNTIF($D$5:$D46,"Not Met")+COUNTIF($D$5:$D46,"Partially Met"),"")</f>
        <v/>
      </c>
    </row>
    <row r="47" customFormat="false" ht="45.75" hidden="false" customHeight="true" outlineLevel="0" collapsed="false">
      <c r="A47" s="35" t="s">
        <v>127</v>
      </c>
      <c r="B47" s="35" t="s">
        <v>64</v>
      </c>
      <c r="C47" s="36" t="s">
        <v>128</v>
      </c>
      <c r="D47" s="37" t="s">
        <v>30</v>
      </c>
      <c r="E47" s="38"/>
      <c r="F47" s="38"/>
      <c r="H47" s="0" t="s">
        <v>112</v>
      </c>
      <c r="I47" s="0" t="n">
        <v>2</v>
      </c>
      <c r="J47" s="0" t="str">
        <f aca="false">IF(OR($D47="Not Met",$D47="Partially Met"),COUNTIF($D$5:$D47,"Not Met")+COUNTIF($D$5:$D47,"Partially Met"),"")</f>
        <v/>
      </c>
    </row>
    <row r="48" customFormat="false" ht="45.75" hidden="false" customHeight="true" outlineLevel="0" collapsed="false">
      <c r="A48" s="35" t="s">
        <v>129</v>
      </c>
      <c r="B48" s="35" t="s">
        <v>64</v>
      </c>
      <c r="C48" s="36" t="s">
        <v>130</v>
      </c>
      <c r="D48" s="37" t="s">
        <v>30</v>
      </c>
      <c r="E48" s="38"/>
      <c r="F48" s="38"/>
      <c r="H48" s="0" t="s">
        <v>112</v>
      </c>
      <c r="I48" s="0" t="n">
        <v>2</v>
      </c>
      <c r="J48" s="0" t="str">
        <f aca="false">IF(OR($D48="Not Met",$D48="Partially Met"),COUNTIF($D$5:$D48,"Not Met")+COUNTIF($D$5:$D48,"Partially Met"),"")</f>
        <v/>
      </c>
    </row>
    <row r="49" customFormat="false" ht="45.75" hidden="false" customHeight="true" outlineLevel="0" collapsed="false">
      <c r="A49" s="35" t="s">
        <v>131</v>
      </c>
      <c r="B49" s="35" t="s">
        <v>64</v>
      </c>
      <c r="C49" s="36" t="s">
        <v>132</v>
      </c>
      <c r="D49" s="37" t="s">
        <v>30</v>
      </c>
      <c r="E49" s="38"/>
      <c r="F49" s="38"/>
      <c r="H49" s="0" t="s">
        <v>112</v>
      </c>
      <c r="I49" s="0" t="n">
        <v>2</v>
      </c>
      <c r="J49" s="0" t="str">
        <f aca="false">IF(OR($D49="Not Met",$D49="Partially Met"),COUNTIF($D$5:$D49,"Not Met")+COUNTIF($D$5:$D49,"Partially Met"),"")</f>
        <v/>
      </c>
    </row>
    <row r="50" customFormat="false" ht="45.75" hidden="false" customHeight="true" outlineLevel="0" collapsed="false">
      <c r="A50" s="35" t="s">
        <v>133</v>
      </c>
      <c r="B50" s="35" t="s">
        <v>64</v>
      </c>
      <c r="C50" s="36" t="s">
        <v>134</v>
      </c>
      <c r="D50" s="37" t="s">
        <v>30</v>
      </c>
      <c r="E50" s="38"/>
      <c r="F50" s="38"/>
      <c r="H50" s="0" t="s">
        <v>112</v>
      </c>
      <c r="I50" s="0" t="n">
        <v>2</v>
      </c>
      <c r="J50" s="0" t="str">
        <f aca="false">IF(OR($D50="Not Met",$D50="Partially Met"),COUNTIF($D$5:$D50,"Not Met")+COUNTIF($D$5:$D50,"Partially Met"),"")</f>
        <v/>
      </c>
    </row>
    <row r="51" customFormat="false" ht="45.75" hidden="false" customHeight="true" outlineLevel="0" collapsed="false">
      <c r="A51" s="35" t="s">
        <v>135</v>
      </c>
      <c r="B51" s="35" t="s">
        <v>64</v>
      </c>
      <c r="C51" s="36" t="s">
        <v>136</v>
      </c>
      <c r="D51" s="37" t="s">
        <v>30</v>
      </c>
      <c r="E51" s="38"/>
      <c r="F51" s="38"/>
      <c r="H51" s="0" t="s">
        <v>112</v>
      </c>
      <c r="I51" s="0" t="n">
        <v>2</v>
      </c>
      <c r="J51" s="0" t="str">
        <f aca="false">IF(OR($D51="Not Met",$D51="Partially Met"),COUNTIF($D$5:$D51,"Not Met")+COUNTIF($D$5:$D51,"Partially Met"),"")</f>
        <v/>
      </c>
    </row>
    <row r="52" customFormat="false" ht="45.75" hidden="false" customHeight="true" outlineLevel="0" collapsed="false">
      <c r="A52" s="35" t="s">
        <v>137</v>
      </c>
      <c r="B52" s="35" t="s">
        <v>64</v>
      </c>
      <c r="C52" s="36" t="s">
        <v>138</v>
      </c>
      <c r="D52" s="37" t="s">
        <v>30</v>
      </c>
      <c r="E52" s="38"/>
      <c r="F52" s="38"/>
      <c r="H52" s="0" t="s">
        <v>112</v>
      </c>
      <c r="I52" s="0" t="n">
        <v>2</v>
      </c>
      <c r="J52" s="0" t="str">
        <f aca="false">IF(OR($D52="Not Met",$D52="Partially Met"),COUNTIF($D$5:$D52,"Not Met")+COUNTIF($D$5:$D52,"Partially Met"),"")</f>
        <v/>
      </c>
    </row>
    <row r="53" customFormat="false" ht="45.75" hidden="false" customHeight="true" outlineLevel="0" collapsed="false">
      <c r="A53" s="35" t="s">
        <v>139</v>
      </c>
      <c r="B53" s="35" t="s">
        <v>64</v>
      </c>
      <c r="C53" s="36" t="s">
        <v>140</v>
      </c>
      <c r="D53" s="37" t="s">
        <v>30</v>
      </c>
      <c r="E53" s="38"/>
      <c r="F53" s="38"/>
      <c r="H53" s="0" t="s">
        <v>112</v>
      </c>
      <c r="I53" s="0" t="n">
        <v>2</v>
      </c>
      <c r="J53" s="0" t="str">
        <f aca="false">IF(OR($D53="Not Met",$D53="Partially Met"),COUNTIF($D$5:$D53,"Not Met")+COUNTIF($D$5:$D53,"Partially Met"),"")</f>
        <v/>
      </c>
    </row>
    <row r="54" customFormat="false" ht="45.75" hidden="false" customHeight="true" outlineLevel="0" collapsed="false">
      <c r="A54" s="35" t="s">
        <v>141</v>
      </c>
      <c r="B54" s="35" t="s">
        <v>64</v>
      </c>
      <c r="C54" s="36" t="s">
        <v>142</v>
      </c>
      <c r="D54" s="37" t="s">
        <v>30</v>
      </c>
      <c r="E54" s="38"/>
      <c r="F54" s="38"/>
      <c r="H54" s="0" t="s">
        <v>112</v>
      </c>
      <c r="I54" s="0" t="n">
        <v>2</v>
      </c>
      <c r="J54" s="0" t="str">
        <f aca="false">IF(OR($D54="Not Met",$D54="Partially Met"),COUNTIF($D$5:$D54,"Not Met")+COUNTIF($D$5:$D54,"Partially Met"),"")</f>
        <v/>
      </c>
    </row>
    <row r="55" customFormat="false" ht="45.75" hidden="false" customHeight="true" outlineLevel="0" collapsed="false">
      <c r="A55" s="35" t="s">
        <v>143</v>
      </c>
      <c r="B55" s="35" t="s">
        <v>64</v>
      </c>
      <c r="C55" s="36" t="s">
        <v>144</v>
      </c>
      <c r="D55" s="37" t="s">
        <v>30</v>
      </c>
      <c r="E55" s="38"/>
      <c r="F55" s="38"/>
      <c r="H55" s="0" t="s">
        <v>112</v>
      </c>
      <c r="I55" s="0" t="n">
        <v>2</v>
      </c>
      <c r="J55" s="0" t="str">
        <f aca="false">IF(OR($D55="Not Met",$D55="Partially Met"),COUNTIF($D$5:$D55,"Not Met")+COUNTIF($D$5:$D55,"Partially Met"),"")</f>
        <v/>
      </c>
    </row>
    <row r="56" customFormat="false" ht="45.75" hidden="false" customHeight="true" outlineLevel="0" collapsed="false">
      <c r="A56" s="35" t="s">
        <v>145</v>
      </c>
      <c r="B56" s="35" t="s">
        <v>64</v>
      </c>
      <c r="C56" s="36" t="s">
        <v>146</v>
      </c>
      <c r="D56" s="37" t="s">
        <v>30</v>
      </c>
      <c r="E56" s="38"/>
      <c r="F56" s="38"/>
      <c r="H56" s="0" t="s">
        <v>112</v>
      </c>
      <c r="I56" s="0" t="n">
        <v>2</v>
      </c>
      <c r="J56" s="0" t="str">
        <f aca="false">IF(OR($D56="Not Met",$D56="Partially Met"),COUNTIF($D$5:$D56,"Not Met")+COUNTIF($D$5:$D56,"Partially Met"),"")</f>
        <v/>
      </c>
    </row>
    <row r="57" customFormat="false" ht="45.75" hidden="false" customHeight="true" outlineLevel="0" collapsed="false">
      <c r="A57" s="35" t="s">
        <v>147</v>
      </c>
      <c r="B57" s="35" t="s">
        <v>64</v>
      </c>
      <c r="C57" s="36" t="s">
        <v>148</v>
      </c>
      <c r="D57" s="37" t="s">
        <v>30</v>
      </c>
      <c r="E57" s="38"/>
      <c r="F57" s="38"/>
      <c r="H57" s="0" t="s">
        <v>112</v>
      </c>
      <c r="I57" s="0" t="n">
        <v>2</v>
      </c>
      <c r="J57" s="0" t="str">
        <f aca="false">IF(OR($D57="Not Met",$D57="Partially Met"),COUNTIF($D$5:$D57,"Not Met")+COUNTIF($D$5:$D57,"Partially Met"),"")</f>
        <v/>
      </c>
    </row>
    <row r="58" customFormat="false" ht="45.75" hidden="false" customHeight="true" outlineLevel="0" collapsed="false">
      <c r="A58" s="35" t="s">
        <v>149</v>
      </c>
      <c r="B58" s="35" t="s">
        <v>69</v>
      </c>
      <c r="C58" s="36" t="s">
        <v>150</v>
      </c>
      <c r="D58" s="37" t="s">
        <v>30</v>
      </c>
      <c r="E58" s="38"/>
      <c r="F58" s="38"/>
      <c r="H58" s="0" t="s">
        <v>112</v>
      </c>
      <c r="I58" s="0" t="n">
        <v>3</v>
      </c>
      <c r="J58" s="0" t="str">
        <f aca="false">IF(OR($D58="Not Met",$D58="Partially Met"),COUNTIF($D$5:$D58,"Not Met")+COUNTIF($D$5:$D58,"Partially Met"),"")</f>
        <v/>
      </c>
    </row>
    <row r="59" customFormat="false" ht="45.75" hidden="false" customHeight="true" outlineLevel="0" collapsed="false">
      <c r="A59" s="35" t="s">
        <v>151</v>
      </c>
      <c r="B59" s="35" t="s">
        <v>69</v>
      </c>
      <c r="C59" s="36" t="s">
        <v>152</v>
      </c>
      <c r="D59" s="37" t="s">
        <v>30</v>
      </c>
      <c r="E59" s="38"/>
      <c r="F59" s="38"/>
      <c r="H59" s="0" t="s">
        <v>112</v>
      </c>
      <c r="I59" s="0" t="n">
        <v>3</v>
      </c>
      <c r="J59" s="0" t="str">
        <f aca="false">IF(OR($D59="Not Met",$D59="Partially Met"),COUNTIF($D$5:$D59,"Not Met")+COUNTIF($D$5:$D59,"Partially Met"),"")</f>
        <v/>
      </c>
    </row>
    <row r="60" customFormat="false" ht="45.75" hidden="false" customHeight="true" outlineLevel="0" collapsed="false">
      <c r="A60" s="35" t="s">
        <v>153</v>
      </c>
      <c r="B60" s="35" t="s">
        <v>69</v>
      </c>
      <c r="C60" s="36" t="s">
        <v>154</v>
      </c>
      <c r="D60" s="37" t="s">
        <v>30</v>
      </c>
      <c r="E60" s="38"/>
      <c r="F60" s="38"/>
      <c r="H60" s="0" t="s">
        <v>112</v>
      </c>
      <c r="I60" s="0" t="n">
        <v>3</v>
      </c>
      <c r="J60" s="0" t="str">
        <f aca="false">IF(OR($D60="Not Met",$D60="Partially Met"),COUNTIF($D$5:$D60,"Not Met")+COUNTIF($D$5:$D60,"Partially Met"),"")</f>
        <v/>
      </c>
    </row>
    <row r="61" customFormat="false" ht="45.75" hidden="false" customHeight="true" outlineLevel="0" collapsed="false">
      <c r="A61" s="35" t="s">
        <v>155</v>
      </c>
      <c r="B61" s="35" t="s">
        <v>69</v>
      </c>
      <c r="C61" s="36" t="s">
        <v>156</v>
      </c>
      <c r="D61" s="37" t="s">
        <v>30</v>
      </c>
      <c r="E61" s="38"/>
      <c r="F61" s="38"/>
      <c r="H61" s="0" t="s">
        <v>112</v>
      </c>
      <c r="I61" s="0" t="n">
        <v>3</v>
      </c>
      <c r="J61" s="0" t="str">
        <f aca="false">IF(OR($D61="Not Met",$D61="Partially Met"),COUNTIF($D$5:$D61,"Not Met")+COUNTIF($D$5:$D61,"Partially Met"),"")</f>
        <v/>
      </c>
    </row>
    <row r="62" customFormat="false" ht="45.75" hidden="false" customHeight="true" outlineLevel="0" collapsed="false">
      <c r="A62" s="35" t="s">
        <v>157</v>
      </c>
      <c r="B62" s="35" t="s">
        <v>69</v>
      </c>
      <c r="C62" s="36" t="s">
        <v>158</v>
      </c>
      <c r="D62" s="37" t="s">
        <v>30</v>
      </c>
      <c r="E62" s="38"/>
      <c r="F62" s="38"/>
      <c r="H62" s="0" t="s">
        <v>112</v>
      </c>
      <c r="I62" s="0" t="n">
        <v>3</v>
      </c>
      <c r="J62" s="0" t="str">
        <f aca="false">IF(OR($D62="Not Met",$D62="Partially Met"),COUNTIF($D$5:$D62,"Not Met")+COUNTIF($D$5:$D62,"Partially Met"),"")</f>
        <v/>
      </c>
    </row>
    <row r="63" customFormat="false" ht="21.75" hidden="false" customHeight="true" outlineLevel="0" collapsed="false">
      <c r="A63" s="34" t="s">
        <v>159</v>
      </c>
      <c r="B63" s="34"/>
      <c r="C63" s="34"/>
      <c r="D63" s="34"/>
      <c r="E63" s="34"/>
      <c r="F63" s="34"/>
    </row>
    <row r="64" customFormat="false" ht="45.75" hidden="false" customHeight="true" outlineLevel="0" collapsed="false">
      <c r="A64" s="35" t="s">
        <v>160</v>
      </c>
      <c r="B64" s="35" t="s">
        <v>44</v>
      </c>
      <c r="C64" s="36" t="s">
        <v>161</v>
      </c>
      <c r="D64" s="37" t="s">
        <v>30</v>
      </c>
      <c r="E64" s="38"/>
      <c r="F64" s="38"/>
      <c r="H64" s="0" t="s">
        <v>162</v>
      </c>
      <c r="I64" s="0" t="n">
        <v>1</v>
      </c>
      <c r="J64" s="0" t="str">
        <f aca="false">IF(OR($D64="Not Met",$D64="Partially Met"),COUNTIF($D$5:$D64,"Not Met")+COUNTIF($D$5:$D64,"Partially Met"),"")</f>
        <v/>
      </c>
    </row>
    <row r="65" customFormat="false" ht="45.75" hidden="false" customHeight="true" outlineLevel="0" collapsed="false">
      <c r="A65" s="35" t="s">
        <v>163</v>
      </c>
      <c r="B65" s="35" t="s">
        <v>44</v>
      </c>
      <c r="C65" s="36" t="s">
        <v>164</v>
      </c>
      <c r="D65" s="37" t="s">
        <v>30</v>
      </c>
      <c r="E65" s="38"/>
      <c r="F65" s="38"/>
      <c r="H65" s="0" t="s">
        <v>162</v>
      </c>
      <c r="I65" s="0" t="n">
        <v>1</v>
      </c>
      <c r="J65" s="0" t="str">
        <f aca="false">IF(OR($D65="Not Met",$D65="Partially Met"),COUNTIF($D$5:$D65,"Not Met")+COUNTIF($D$5:$D65,"Partially Met"),"")</f>
        <v/>
      </c>
    </row>
    <row r="66" customFormat="false" ht="45.75" hidden="false" customHeight="true" outlineLevel="0" collapsed="false">
      <c r="A66" s="35" t="s">
        <v>165</v>
      </c>
      <c r="B66" s="35" t="s">
        <v>44</v>
      </c>
      <c r="C66" s="36" t="s">
        <v>166</v>
      </c>
      <c r="D66" s="37" t="s">
        <v>30</v>
      </c>
      <c r="E66" s="38"/>
      <c r="F66" s="38"/>
      <c r="H66" s="0" t="s">
        <v>162</v>
      </c>
      <c r="I66" s="0" t="n">
        <v>1</v>
      </c>
      <c r="J66" s="0" t="str">
        <f aca="false">IF(OR($D66="Not Met",$D66="Partially Met"),COUNTIF($D$5:$D66,"Not Met")+COUNTIF($D$5:$D66,"Partially Met"),"")</f>
        <v/>
      </c>
    </row>
    <row r="67" customFormat="false" ht="45.75" hidden="false" customHeight="true" outlineLevel="0" collapsed="false">
      <c r="A67" s="35" t="s">
        <v>167</v>
      </c>
      <c r="B67" s="35" t="s">
        <v>44</v>
      </c>
      <c r="C67" s="36" t="s">
        <v>168</v>
      </c>
      <c r="D67" s="37" t="s">
        <v>30</v>
      </c>
      <c r="E67" s="38"/>
      <c r="F67" s="38"/>
      <c r="H67" s="0" t="s">
        <v>162</v>
      </c>
      <c r="I67" s="0" t="n">
        <v>1</v>
      </c>
      <c r="J67" s="0" t="str">
        <f aca="false">IF(OR($D67="Not Met",$D67="Partially Met"),COUNTIF($D$5:$D67,"Not Met")+COUNTIF($D$5:$D67,"Partially Met"),"")</f>
        <v/>
      </c>
    </row>
    <row r="68" customFormat="false" ht="45.75" hidden="false" customHeight="true" outlineLevel="0" collapsed="false">
      <c r="A68" s="35" t="s">
        <v>169</v>
      </c>
      <c r="B68" s="35" t="s">
        <v>44</v>
      </c>
      <c r="C68" s="36" t="s">
        <v>170</v>
      </c>
      <c r="D68" s="37" t="s">
        <v>30</v>
      </c>
      <c r="E68" s="38"/>
      <c r="F68" s="38"/>
      <c r="H68" s="0" t="s">
        <v>162</v>
      </c>
      <c r="I68" s="0" t="n">
        <v>1</v>
      </c>
      <c r="J68" s="0" t="str">
        <f aca="false">IF(OR($D68="Not Met",$D68="Partially Met"),COUNTIF($D$5:$D68,"Not Met")+COUNTIF($D$5:$D68,"Partially Met"),"")</f>
        <v/>
      </c>
    </row>
    <row r="69" customFormat="false" ht="45.75" hidden="false" customHeight="true" outlineLevel="0" collapsed="false">
      <c r="A69" s="35" t="s">
        <v>171</v>
      </c>
      <c r="B69" s="35" t="s">
        <v>44</v>
      </c>
      <c r="C69" s="36" t="s">
        <v>172</v>
      </c>
      <c r="D69" s="37" t="s">
        <v>30</v>
      </c>
      <c r="E69" s="38"/>
      <c r="F69" s="38"/>
      <c r="H69" s="0" t="s">
        <v>162</v>
      </c>
      <c r="I69" s="0" t="n">
        <v>1</v>
      </c>
      <c r="J69" s="0" t="str">
        <f aca="false">IF(OR($D69="Not Met",$D69="Partially Met"),COUNTIF($D$5:$D69,"Not Met")+COUNTIF($D$5:$D69,"Partially Met"),"")</f>
        <v/>
      </c>
    </row>
    <row r="70" customFormat="false" ht="45.75" hidden="false" customHeight="true" outlineLevel="0" collapsed="false">
      <c r="A70" s="35" t="s">
        <v>173</v>
      </c>
      <c r="B70" s="35" t="s">
        <v>44</v>
      </c>
      <c r="C70" s="36" t="s">
        <v>174</v>
      </c>
      <c r="D70" s="37" t="s">
        <v>30</v>
      </c>
      <c r="E70" s="38"/>
      <c r="F70" s="38"/>
      <c r="H70" s="0" t="s">
        <v>162</v>
      </c>
      <c r="I70" s="0" t="n">
        <v>1</v>
      </c>
      <c r="J70" s="0" t="str">
        <f aca="false">IF(OR($D70="Not Met",$D70="Partially Met"),COUNTIF($D$5:$D70,"Not Met")+COUNTIF($D$5:$D70,"Partially Met"),"")</f>
        <v/>
      </c>
    </row>
    <row r="71" customFormat="false" ht="45.75" hidden="false" customHeight="true" outlineLevel="0" collapsed="false">
      <c r="A71" s="35" t="s">
        <v>175</v>
      </c>
      <c r="B71" s="35" t="s">
        <v>64</v>
      </c>
      <c r="C71" s="36" t="s">
        <v>176</v>
      </c>
      <c r="D71" s="37" t="s">
        <v>30</v>
      </c>
      <c r="E71" s="38"/>
      <c r="F71" s="38"/>
      <c r="H71" s="0" t="s">
        <v>162</v>
      </c>
      <c r="I71" s="0" t="n">
        <v>2</v>
      </c>
      <c r="J71" s="0" t="str">
        <f aca="false">IF(OR($D71="Not Met",$D71="Partially Met"),COUNTIF($D$5:$D71,"Not Met")+COUNTIF($D$5:$D71,"Partially Met"),"")</f>
        <v/>
      </c>
    </row>
    <row r="72" customFormat="false" ht="45.75" hidden="false" customHeight="true" outlineLevel="0" collapsed="false">
      <c r="A72" s="35" t="s">
        <v>177</v>
      </c>
      <c r="B72" s="35" t="s">
        <v>64</v>
      </c>
      <c r="C72" s="36" t="s">
        <v>178</v>
      </c>
      <c r="D72" s="37" t="s">
        <v>30</v>
      </c>
      <c r="E72" s="38"/>
      <c r="F72" s="38"/>
      <c r="H72" s="0" t="s">
        <v>162</v>
      </c>
      <c r="I72" s="0" t="n">
        <v>2</v>
      </c>
      <c r="J72" s="0" t="str">
        <f aca="false">IF(OR($D72="Not Met",$D72="Partially Met"),COUNTIF($D$5:$D72,"Not Met")+COUNTIF($D$5:$D72,"Partially Met"),"")</f>
        <v/>
      </c>
    </row>
    <row r="73" customFormat="false" ht="45.75" hidden="false" customHeight="true" outlineLevel="0" collapsed="false">
      <c r="A73" s="35" t="s">
        <v>179</v>
      </c>
      <c r="B73" s="35" t="s">
        <v>64</v>
      </c>
      <c r="C73" s="36" t="s">
        <v>180</v>
      </c>
      <c r="D73" s="37" t="s">
        <v>30</v>
      </c>
      <c r="E73" s="38"/>
      <c r="F73" s="38"/>
      <c r="H73" s="0" t="s">
        <v>162</v>
      </c>
      <c r="I73" s="0" t="n">
        <v>2</v>
      </c>
      <c r="J73" s="0" t="str">
        <f aca="false">IF(OR($D73="Not Met",$D73="Partially Met"),COUNTIF($D$5:$D73,"Not Met")+COUNTIF($D$5:$D73,"Partially Met"),"")</f>
        <v/>
      </c>
    </row>
    <row r="74" customFormat="false" ht="45.75" hidden="false" customHeight="true" outlineLevel="0" collapsed="false">
      <c r="A74" s="35" t="s">
        <v>181</v>
      </c>
      <c r="B74" s="35" t="s">
        <v>64</v>
      </c>
      <c r="C74" s="36" t="s">
        <v>182</v>
      </c>
      <c r="D74" s="37" t="s">
        <v>30</v>
      </c>
      <c r="E74" s="38"/>
      <c r="F74" s="38"/>
      <c r="H74" s="0" t="s">
        <v>162</v>
      </c>
      <c r="I74" s="0" t="n">
        <v>2</v>
      </c>
      <c r="J74" s="0" t="str">
        <f aca="false">IF(OR($D74="Not Met",$D74="Partially Met"),COUNTIF($D$5:$D74,"Not Met")+COUNTIF($D$5:$D74,"Partially Met"),"")</f>
        <v/>
      </c>
    </row>
    <row r="75" customFormat="false" ht="45.75" hidden="false" customHeight="true" outlineLevel="0" collapsed="false">
      <c r="A75" s="35" t="s">
        <v>183</v>
      </c>
      <c r="B75" s="35" t="s">
        <v>64</v>
      </c>
      <c r="C75" s="36" t="s">
        <v>184</v>
      </c>
      <c r="D75" s="37" t="s">
        <v>30</v>
      </c>
      <c r="E75" s="38"/>
      <c r="F75" s="38"/>
      <c r="H75" s="0" t="s">
        <v>162</v>
      </c>
      <c r="I75" s="0" t="n">
        <v>2</v>
      </c>
      <c r="J75" s="0" t="str">
        <f aca="false">IF(OR($D75="Not Met",$D75="Partially Met"),COUNTIF($D$5:$D75,"Not Met")+COUNTIF($D$5:$D75,"Partially Met"),"")</f>
        <v/>
      </c>
    </row>
    <row r="76" customFormat="false" ht="45.75" hidden="false" customHeight="true" outlineLevel="0" collapsed="false">
      <c r="A76" s="35" t="s">
        <v>185</v>
      </c>
      <c r="B76" s="35" t="s">
        <v>64</v>
      </c>
      <c r="C76" s="36" t="s">
        <v>186</v>
      </c>
      <c r="D76" s="37" t="s">
        <v>30</v>
      </c>
      <c r="E76" s="38"/>
      <c r="F76" s="38"/>
      <c r="H76" s="0" t="s">
        <v>162</v>
      </c>
      <c r="I76" s="0" t="n">
        <v>2</v>
      </c>
      <c r="J76" s="0" t="str">
        <f aca="false">IF(OR($D76="Not Met",$D76="Partially Met"),COUNTIF($D$5:$D76,"Not Met")+COUNTIF($D$5:$D76,"Partially Met"),"")</f>
        <v/>
      </c>
    </row>
    <row r="77" customFormat="false" ht="45.75" hidden="false" customHeight="true" outlineLevel="0" collapsed="false">
      <c r="A77" s="35" t="s">
        <v>187</v>
      </c>
      <c r="B77" s="35" t="s">
        <v>64</v>
      </c>
      <c r="C77" s="36" t="s">
        <v>188</v>
      </c>
      <c r="D77" s="37" t="s">
        <v>30</v>
      </c>
      <c r="E77" s="38"/>
      <c r="F77" s="38"/>
      <c r="H77" s="0" t="s">
        <v>162</v>
      </c>
      <c r="I77" s="0" t="n">
        <v>2</v>
      </c>
      <c r="J77" s="0" t="str">
        <f aca="false">IF(OR($D77="Not Met",$D77="Partially Met"),COUNTIF($D$5:$D77,"Not Met")+COUNTIF($D$5:$D77,"Partially Met"),"")</f>
        <v/>
      </c>
    </row>
    <row r="78" customFormat="false" ht="45.75" hidden="false" customHeight="true" outlineLevel="0" collapsed="false">
      <c r="A78" s="35" t="s">
        <v>189</v>
      </c>
      <c r="B78" s="35" t="s">
        <v>64</v>
      </c>
      <c r="C78" s="36" t="s">
        <v>138</v>
      </c>
      <c r="D78" s="37" t="s">
        <v>30</v>
      </c>
      <c r="E78" s="38"/>
      <c r="F78" s="38"/>
      <c r="H78" s="0" t="s">
        <v>162</v>
      </c>
      <c r="I78" s="0" t="n">
        <v>2</v>
      </c>
      <c r="J78" s="0" t="str">
        <f aca="false">IF(OR($D78="Not Met",$D78="Partially Met"),COUNTIF($D$5:$D78,"Not Met")+COUNTIF($D$5:$D78,"Partially Met"),"")</f>
        <v/>
      </c>
    </row>
    <row r="79" customFormat="false" ht="45.75" hidden="false" customHeight="true" outlineLevel="0" collapsed="false">
      <c r="A79" s="35" t="s">
        <v>190</v>
      </c>
      <c r="B79" s="35" t="s">
        <v>64</v>
      </c>
      <c r="C79" s="36" t="s">
        <v>140</v>
      </c>
      <c r="D79" s="37" t="s">
        <v>30</v>
      </c>
      <c r="E79" s="38"/>
      <c r="F79" s="38"/>
      <c r="H79" s="0" t="s">
        <v>162</v>
      </c>
      <c r="I79" s="0" t="n">
        <v>2</v>
      </c>
      <c r="J79" s="0" t="str">
        <f aca="false">IF(OR($D79="Not Met",$D79="Partially Met"),COUNTIF($D$5:$D79,"Not Met")+COUNTIF($D$5:$D79,"Partially Met"),"")</f>
        <v/>
      </c>
    </row>
    <row r="80" customFormat="false" ht="45.75" hidden="false" customHeight="true" outlineLevel="0" collapsed="false">
      <c r="A80" s="35" t="s">
        <v>191</v>
      </c>
      <c r="B80" s="35" t="s">
        <v>64</v>
      </c>
      <c r="C80" s="36" t="s">
        <v>142</v>
      </c>
      <c r="D80" s="37" t="s">
        <v>30</v>
      </c>
      <c r="E80" s="38"/>
      <c r="F80" s="38"/>
      <c r="H80" s="0" t="s">
        <v>162</v>
      </c>
      <c r="I80" s="0" t="n">
        <v>2</v>
      </c>
      <c r="J80" s="0" t="str">
        <f aca="false">IF(OR($D80="Not Met",$D80="Partially Met"),COUNTIF($D$5:$D80,"Not Met")+COUNTIF($D$5:$D80,"Partially Met"),"")</f>
        <v/>
      </c>
    </row>
    <row r="81" customFormat="false" ht="45.75" hidden="false" customHeight="true" outlineLevel="0" collapsed="false">
      <c r="A81" s="35" t="s">
        <v>192</v>
      </c>
      <c r="B81" s="35" t="s">
        <v>64</v>
      </c>
      <c r="C81" s="36" t="s">
        <v>144</v>
      </c>
      <c r="D81" s="37" t="s">
        <v>30</v>
      </c>
      <c r="E81" s="38"/>
      <c r="F81" s="38"/>
      <c r="H81" s="0" t="s">
        <v>162</v>
      </c>
      <c r="I81" s="0" t="n">
        <v>2</v>
      </c>
      <c r="J81" s="0" t="str">
        <f aca="false">IF(OR($D81="Not Met",$D81="Partially Met"),COUNTIF($D$5:$D81,"Not Met")+COUNTIF($D$5:$D81,"Partially Met"),"")</f>
        <v/>
      </c>
    </row>
    <row r="82" customFormat="false" ht="45.75" hidden="false" customHeight="true" outlineLevel="0" collapsed="false">
      <c r="A82" s="35" t="s">
        <v>193</v>
      </c>
      <c r="B82" s="35" t="s">
        <v>64</v>
      </c>
      <c r="C82" s="36" t="s">
        <v>146</v>
      </c>
      <c r="D82" s="37" t="s">
        <v>30</v>
      </c>
      <c r="E82" s="38"/>
      <c r="F82" s="38"/>
      <c r="H82" s="0" t="s">
        <v>162</v>
      </c>
      <c r="I82" s="0" t="n">
        <v>2</v>
      </c>
      <c r="J82" s="0" t="str">
        <f aca="false">IF(OR($D82="Not Met",$D82="Partially Met"),COUNTIF($D$5:$D82,"Not Met")+COUNTIF($D$5:$D82,"Partially Met"),"")</f>
        <v/>
      </c>
    </row>
    <row r="83" customFormat="false" ht="45.75" hidden="false" customHeight="true" outlineLevel="0" collapsed="false">
      <c r="A83" s="35" t="s">
        <v>194</v>
      </c>
      <c r="B83" s="35" t="s">
        <v>64</v>
      </c>
      <c r="C83" s="36" t="s">
        <v>148</v>
      </c>
      <c r="D83" s="37" t="s">
        <v>30</v>
      </c>
      <c r="E83" s="38"/>
      <c r="F83" s="38"/>
      <c r="H83" s="0" t="s">
        <v>162</v>
      </c>
      <c r="I83" s="0" t="n">
        <v>2</v>
      </c>
      <c r="J83" s="0" t="str">
        <f aca="false">IF(OR($D83="Not Met",$D83="Partially Met"),COUNTIF($D$5:$D83,"Not Met")+COUNTIF($D$5:$D83,"Partially Met"),"")</f>
        <v/>
      </c>
    </row>
    <row r="84" customFormat="false" ht="45.75" hidden="false" customHeight="true" outlineLevel="0" collapsed="false">
      <c r="A84" s="35" t="s">
        <v>195</v>
      </c>
      <c r="B84" s="35" t="s">
        <v>69</v>
      </c>
      <c r="C84" s="36" t="s">
        <v>196</v>
      </c>
      <c r="D84" s="37" t="s">
        <v>30</v>
      </c>
      <c r="E84" s="38"/>
      <c r="F84" s="38"/>
      <c r="H84" s="0" t="s">
        <v>162</v>
      </c>
      <c r="I84" s="0" t="n">
        <v>3</v>
      </c>
      <c r="J84" s="0" t="str">
        <f aca="false">IF(OR($D84="Not Met",$D84="Partially Met"),COUNTIF($D$5:$D84,"Not Met")+COUNTIF($D$5:$D84,"Partially Met"),"")</f>
        <v/>
      </c>
    </row>
    <row r="85" customFormat="false" ht="45.75" hidden="false" customHeight="true" outlineLevel="0" collapsed="false">
      <c r="A85" s="35" t="s">
        <v>197</v>
      </c>
      <c r="B85" s="35" t="s">
        <v>69</v>
      </c>
      <c r="C85" s="36" t="s">
        <v>198</v>
      </c>
      <c r="D85" s="37" t="s">
        <v>30</v>
      </c>
      <c r="E85" s="38"/>
      <c r="F85" s="38"/>
      <c r="H85" s="0" t="s">
        <v>162</v>
      </c>
      <c r="I85" s="0" t="n">
        <v>3</v>
      </c>
      <c r="J85" s="0" t="str">
        <f aca="false">IF(OR($D85="Not Met",$D85="Partially Met"),COUNTIF($D$5:$D85,"Not Met")+COUNTIF($D$5:$D85,"Partially Met"),"")</f>
        <v/>
      </c>
    </row>
    <row r="86" customFormat="false" ht="45.75" hidden="false" customHeight="true" outlineLevel="0" collapsed="false">
      <c r="A86" s="35" t="s">
        <v>199</v>
      </c>
      <c r="B86" s="35" t="s">
        <v>69</v>
      </c>
      <c r="C86" s="36" t="s">
        <v>200</v>
      </c>
      <c r="D86" s="37" t="s">
        <v>30</v>
      </c>
      <c r="E86" s="38"/>
      <c r="F86" s="38"/>
      <c r="H86" s="0" t="s">
        <v>162</v>
      </c>
      <c r="I86" s="0" t="n">
        <v>3</v>
      </c>
      <c r="J86" s="0" t="str">
        <f aca="false">IF(OR($D86="Not Met",$D86="Partially Met"),COUNTIF($D$5:$D86,"Not Met")+COUNTIF($D$5:$D86,"Partially Met"),"")</f>
        <v/>
      </c>
    </row>
    <row r="87" customFormat="false" ht="45.75" hidden="false" customHeight="true" outlineLevel="0" collapsed="false">
      <c r="A87" s="35" t="s">
        <v>201</v>
      </c>
      <c r="B87" s="35" t="s">
        <v>69</v>
      </c>
      <c r="C87" s="36" t="s">
        <v>202</v>
      </c>
      <c r="D87" s="37" t="s">
        <v>30</v>
      </c>
      <c r="E87" s="38"/>
      <c r="F87" s="38"/>
      <c r="H87" s="0" t="s">
        <v>162</v>
      </c>
      <c r="I87" s="0" t="n">
        <v>3</v>
      </c>
      <c r="J87" s="0" t="str">
        <f aca="false">IF(OR($D87="Not Met",$D87="Partially Met"),COUNTIF($D$5:$D87,"Not Met")+COUNTIF($D$5:$D87,"Partially Met"),"")</f>
        <v/>
      </c>
    </row>
    <row r="88" customFormat="false" ht="45.75" hidden="false" customHeight="true" outlineLevel="0" collapsed="false">
      <c r="A88" s="35" t="s">
        <v>203</v>
      </c>
      <c r="B88" s="35" t="s">
        <v>69</v>
      </c>
      <c r="C88" s="36" t="s">
        <v>204</v>
      </c>
      <c r="D88" s="37" t="s">
        <v>30</v>
      </c>
      <c r="E88" s="38"/>
      <c r="F88" s="38"/>
      <c r="H88" s="0" t="s">
        <v>162</v>
      </c>
      <c r="I88" s="0" t="n">
        <v>3</v>
      </c>
      <c r="J88" s="0" t="str">
        <f aca="false">IF(OR($D88="Not Met",$D88="Partially Met"),COUNTIF($D$5:$D88,"Not Met")+COUNTIF($D$5:$D88,"Partially Met"),"")</f>
        <v/>
      </c>
    </row>
    <row r="89" customFormat="false" ht="45.75" hidden="false" customHeight="true" outlineLevel="0" collapsed="false">
      <c r="A89" s="35" t="s">
        <v>205</v>
      </c>
      <c r="B89" s="35" t="s">
        <v>69</v>
      </c>
      <c r="C89" s="36" t="s">
        <v>206</v>
      </c>
      <c r="D89" s="37" t="s">
        <v>30</v>
      </c>
      <c r="E89" s="38"/>
      <c r="F89" s="38"/>
      <c r="H89" s="0" t="s">
        <v>162</v>
      </c>
      <c r="I89" s="0" t="n">
        <v>3</v>
      </c>
      <c r="J89" s="0" t="str">
        <f aca="false">IF(OR($D89="Not Met",$D89="Partially Met"),COUNTIF($D$5:$D89,"Not Met")+COUNTIF($D$5:$D89,"Partially Met"),"")</f>
        <v/>
      </c>
    </row>
    <row r="90" customFormat="false" ht="45.75" hidden="false" customHeight="true" outlineLevel="0" collapsed="false">
      <c r="A90" s="35" t="s">
        <v>207</v>
      </c>
      <c r="B90" s="35" t="s">
        <v>69</v>
      </c>
      <c r="C90" s="36" t="s">
        <v>208</v>
      </c>
      <c r="D90" s="37" t="s">
        <v>30</v>
      </c>
      <c r="E90" s="38"/>
      <c r="F90" s="38"/>
      <c r="H90" s="0" t="s">
        <v>162</v>
      </c>
      <c r="I90" s="0" t="n">
        <v>3</v>
      </c>
      <c r="J90" s="0" t="str">
        <f aca="false">IF(OR($D90="Not Met",$D90="Partially Met"),COUNTIF($D$5:$D90,"Not Met")+COUNTIF($D$5:$D90,"Partially Met"),"")</f>
        <v/>
      </c>
    </row>
    <row r="91" customFormat="false" ht="45.75" hidden="false" customHeight="true" outlineLevel="0" collapsed="false">
      <c r="A91" s="35" t="s">
        <v>209</v>
      </c>
      <c r="B91" s="35" t="s">
        <v>69</v>
      </c>
      <c r="C91" s="36" t="s">
        <v>156</v>
      </c>
      <c r="D91" s="37" t="s">
        <v>30</v>
      </c>
      <c r="E91" s="38"/>
      <c r="F91" s="38"/>
      <c r="H91" s="0" t="s">
        <v>162</v>
      </c>
      <c r="I91" s="0" t="n">
        <v>3</v>
      </c>
      <c r="J91" s="0" t="str">
        <f aca="false">IF(OR($D91="Not Met",$D91="Partially Met"),COUNTIF($D$5:$D91,"Not Met")+COUNTIF($D$5:$D91,"Partially Met"),"")</f>
        <v/>
      </c>
    </row>
    <row r="92" customFormat="false" ht="45.75" hidden="false" customHeight="true" outlineLevel="0" collapsed="false">
      <c r="A92" s="35" t="s">
        <v>210</v>
      </c>
      <c r="B92" s="35" t="s">
        <v>69</v>
      </c>
      <c r="C92" s="36" t="s">
        <v>158</v>
      </c>
      <c r="D92" s="37" t="s">
        <v>30</v>
      </c>
      <c r="E92" s="38"/>
      <c r="F92" s="38"/>
      <c r="H92" s="0" t="s">
        <v>162</v>
      </c>
      <c r="I92" s="0" t="n">
        <v>3</v>
      </c>
      <c r="J92" s="0" t="str">
        <f aca="false">IF(OR($D92="Not Met",$D92="Partially Met"),COUNTIF($D$5:$D92,"Not Met")+COUNTIF($D$5:$D92,"Partially Met"),"")</f>
        <v/>
      </c>
    </row>
    <row r="93" customFormat="false" ht="21.75" hidden="false" customHeight="true" outlineLevel="0" collapsed="false">
      <c r="A93" s="34" t="s">
        <v>211</v>
      </c>
      <c r="B93" s="34"/>
      <c r="C93" s="34"/>
      <c r="D93" s="34"/>
      <c r="E93" s="34"/>
      <c r="F93" s="34"/>
    </row>
    <row r="94" customFormat="false" ht="45.75" hidden="false" customHeight="true" outlineLevel="0" collapsed="false">
      <c r="A94" s="35" t="s">
        <v>212</v>
      </c>
      <c r="B94" s="35" t="s">
        <v>44</v>
      </c>
      <c r="C94" s="36" t="s">
        <v>213</v>
      </c>
      <c r="D94" s="37" t="s">
        <v>30</v>
      </c>
      <c r="E94" s="38"/>
      <c r="F94" s="38"/>
      <c r="H94" s="0" t="s">
        <v>214</v>
      </c>
      <c r="I94" s="0" t="n">
        <v>1</v>
      </c>
      <c r="J94" s="0" t="str">
        <f aca="false">IF(OR($D94="Not Met",$D94="Partially Met"),COUNTIF($D$5:$D94,"Not Met")+COUNTIF($D$5:$D94,"Partially Met"),"")</f>
        <v/>
      </c>
    </row>
    <row r="95" customFormat="false" ht="45.75" hidden="false" customHeight="true" outlineLevel="0" collapsed="false">
      <c r="A95" s="35" t="s">
        <v>215</v>
      </c>
      <c r="B95" s="35" t="s">
        <v>44</v>
      </c>
      <c r="C95" s="36" t="s">
        <v>216</v>
      </c>
      <c r="D95" s="37" t="s">
        <v>30</v>
      </c>
      <c r="E95" s="38"/>
      <c r="F95" s="38"/>
      <c r="H95" s="0" t="s">
        <v>214</v>
      </c>
      <c r="I95" s="0" t="n">
        <v>1</v>
      </c>
      <c r="J95" s="0" t="str">
        <f aca="false">IF(OR($D95="Not Met",$D95="Partially Met"),COUNTIF($D$5:$D95,"Not Met")+COUNTIF($D$5:$D95,"Partially Met"),"")</f>
        <v/>
      </c>
    </row>
    <row r="96" customFormat="false" ht="45.75" hidden="false" customHeight="true" outlineLevel="0" collapsed="false">
      <c r="A96" s="35" t="s">
        <v>217</v>
      </c>
      <c r="B96" s="35" t="s">
        <v>44</v>
      </c>
      <c r="C96" s="36" t="s">
        <v>218</v>
      </c>
      <c r="D96" s="37" t="s">
        <v>30</v>
      </c>
      <c r="E96" s="38"/>
      <c r="F96" s="38"/>
      <c r="H96" s="0" t="s">
        <v>214</v>
      </c>
      <c r="I96" s="0" t="n">
        <v>1</v>
      </c>
      <c r="J96" s="0" t="str">
        <f aca="false">IF(OR($D96="Not Met",$D96="Partially Met"),COUNTIF($D$5:$D96,"Not Met")+COUNTIF($D$5:$D96,"Partially Met"),"")</f>
        <v/>
      </c>
    </row>
    <row r="97" customFormat="false" ht="45.75" hidden="false" customHeight="true" outlineLevel="0" collapsed="false">
      <c r="A97" s="35" t="s">
        <v>219</v>
      </c>
      <c r="B97" s="35" t="s">
        <v>64</v>
      </c>
      <c r="C97" s="36" t="s">
        <v>220</v>
      </c>
      <c r="D97" s="37" t="s">
        <v>30</v>
      </c>
      <c r="E97" s="38"/>
      <c r="F97" s="38"/>
      <c r="H97" s="0" t="s">
        <v>214</v>
      </c>
      <c r="I97" s="0" t="n">
        <v>2</v>
      </c>
      <c r="J97" s="0" t="str">
        <f aca="false">IF(OR($D97="Not Met",$D97="Partially Met"),COUNTIF($D$5:$D97,"Not Met")+COUNTIF($D$5:$D97,"Partially Met"),"")</f>
        <v/>
      </c>
    </row>
    <row r="98" customFormat="false" ht="45.75" hidden="false" customHeight="true" outlineLevel="0" collapsed="false">
      <c r="A98" s="35" t="s">
        <v>221</v>
      </c>
      <c r="B98" s="35" t="s">
        <v>64</v>
      </c>
      <c r="C98" s="36" t="s">
        <v>222</v>
      </c>
      <c r="D98" s="37" t="s">
        <v>30</v>
      </c>
      <c r="E98" s="38"/>
      <c r="F98" s="38"/>
      <c r="H98" s="0" t="s">
        <v>214</v>
      </c>
      <c r="I98" s="0" t="n">
        <v>2</v>
      </c>
      <c r="J98" s="0" t="str">
        <f aca="false">IF(OR($D98="Not Met",$D98="Partially Met"),COUNTIF($D$5:$D98,"Not Met")+COUNTIF($D$5:$D98,"Partially Met"),"")</f>
        <v/>
      </c>
    </row>
    <row r="99" customFormat="false" ht="45.75" hidden="false" customHeight="true" outlineLevel="0" collapsed="false">
      <c r="A99" s="35" t="s">
        <v>223</v>
      </c>
      <c r="B99" s="35" t="s">
        <v>64</v>
      </c>
      <c r="C99" s="36" t="s">
        <v>224</v>
      </c>
      <c r="D99" s="37" t="s">
        <v>30</v>
      </c>
      <c r="E99" s="38"/>
      <c r="F99" s="38"/>
      <c r="H99" s="0" t="s">
        <v>214</v>
      </c>
      <c r="I99" s="0" t="n">
        <v>2</v>
      </c>
      <c r="J99" s="0" t="str">
        <f aca="false">IF(OR($D99="Not Met",$D99="Partially Met"),COUNTIF($D$5:$D99,"Not Met")+COUNTIF($D$5:$D99,"Partially Met"),"")</f>
        <v/>
      </c>
    </row>
    <row r="100" customFormat="false" ht="45.75" hidden="false" customHeight="true" outlineLevel="0" collapsed="false">
      <c r="A100" s="35" t="s">
        <v>225</v>
      </c>
      <c r="B100" s="35" t="s">
        <v>64</v>
      </c>
      <c r="C100" s="36" t="s">
        <v>226</v>
      </c>
      <c r="D100" s="37" t="s">
        <v>30</v>
      </c>
      <c r="E100" s="38"/>
      <c r="F100" s="38"/>
      <c r="H100" s="0" t="s">
        <v>214</v>
      </c>
      <c r="I100" s="0" t="n">
        <v>2</v>
      </c>
      <c r="J100" s="0" t="str">
        <f aca="false">IF(OR($D100="Not Met",$D100="Partially Met"),COUNTIF($D$5:$D100,"Not Met")+COUNTIF($D$5:$D100,"Partially Met"),"")</f>
        <v/>
      </c>
    </row>
    <row r="101" customFormat="false" ht="45.75" hidden="false" customHeight="true" outlineLevel="0" collapsed="false">
      <c r="A101" s="35" t="s">
        <v>227</v>
      </c>
      <c r="B101" s="35" t="s">
        <v>64</v>
      </c>
      <c r="C101" s="36" t="s">
        <v>228</v>
      </c>
      <c r="D101" s="37" t="s">
        <v>30</v>
      </c>
      <c r="E101" s="38"/>
      <c r="F101" s="38"/>
      <c r="H101" s="0" t="s">
        <v>214</v>
      </c>
      <c r="I101" s="0" t="n">
        <v>2</v>
      </c>
      <c r="J101" s="0" t="str">
        <f aca="false">IF(OR($D101="Not Met",$D101="Partially Met"),COUNTIF($D$5:$D101,"Not Met")+COUNTIF($D$5:$D101,"Partially Met"),"")</f>
        <v/>
      </c>
    </row>
    <row r="102" customFormat="false" ht="45.75" hidden="false" customHeight="true" outlineLevel="0" collapsed="false">
      <c r="A102" s="35" t="s">
        <v>229</v>
      </c>
      <c r="B102" s="35" t="s">
        <v>64</v>
      </c>
      <c r="C102" s="36" t="s">
        <v>138</v>
      </c>
      <c r="D102" s="37" t="s">
        <v>30</v>
      </c>
      <c r="E102" s="38"/>
      <c r="F102" s="38"/>
      <c r="H102" s="0" t="s">
        <v>214</v>
      </c>
      <c r="I102" s="0" t="n">
        <v>2</v>
      </c>
      <c r="J102" s="0" t="str">
        <f aca="false">IF(OR($D102="Not Met",$D102="Partially Met"),COUNTIF($D$5:$D102,"Not Met")+COUNTIF($D$5:$D102,"Partially Met"),"")</f>
        <v/>
      </c>
    </row>
    <row r="103" customFormat="false" ht="45.75" hidden="false" customHeight="true" outlineLevel="0" collapsed="false">
      <c r="A103" s="35" t="s">
        <v>230</v>
      </c>
      <c r="B103" s="35" t="s">
        <v>64</v>
      </c>
      <c r="C103" s="36" t="s">
        <v>140</v>
      </c>
      <c r="D103" s="37" t="s">
        <v>30</v>
      </c>
      <c r="E103" s="38"/>
      <c r="F103" s="38"/>
      <c r="H103" s="0" t="s">
        <v>214</v>
      </c>
      <c r="I103" s="0" t="n">
        <v>2</v>
      </c>
      <c r="J103" s="0" t="str">
        <f aca="false">IF(OR($D103="Not Met",$D103="Partially Met"),COUNTIF($D$5:$D103,"Not Met")+COUNTIF($D$5:$D103,"Partially Met"),"")</f>
        <v/>
      </c>
    </row>
    <row r="104" customFormat="false" ht="45.75" hidden="false" customHeight="true" outlineLevel="0" collapsed="false">
      <c r="A104" s="35" t="s">
        <v>231</v>
      </c>
      <c r="B104" s="35" t="s">
        <v>64</v>
      </c>
      <c r="C104" s="36" t="s">
        <v>142</v>
      </c>
      <c r="D104" s="37" t="s">
        <v>30</v>
      </c>
      <c r="E104" s="38"/>
      <c r="F104" s="38"/>
      <c r="H104" s="0" t="s">
        <v>214</v>
      </c>
      <c r="I104" s="0" t="n">
        <v>2</v>
      </c>
      <c r="J104" s="0" t="str">
        <f aca="false">IF(OR($D104="Not Met",$D104="Partially Met"),COUNTIF($D$5:$D104,"Not Met")+COUNTIF($D$5:$D104,"Partially Met"),"")</f>
        <v/>
      </c>
    </row>
    <row r="105" customFormat="false" ht="45.75" hidden="false" customHeight="true" outlineLevel="0" collapsed="false">
      <c r="A105" s="35" t="s">
        <v>232</v>
      </c>
      <c r="B105" s="35" t="s">
        <v>64</v>
      </c>
      <c r="C105" s="36" t="s">
        <v>144</v>
      </c>
      <c r="D105" s="37" t="s">
        <v>30</v>
      </c>
      <c r="E105" s="38"/>
      <c r="F105" s="38"/>
      <c r="H105" s="0" t="s">
        <v>214</v>
      </c>
      <c r="I105" s="0" t="n">
        <v>2</v>
      </c>
      <c r="J105" s="0" t="str">
        <f aca="false">IF(OR($D105="Not Met",$D105="Partially Met"),COUNTIF($D$5:$D105,"Not Met")+COUNTIF($D$5:$D105,"Partially Met"),"")</f>
        <v/>
      </c>
    </row>
    <row r="106" customFormat="false" ht="45.75" hidden="false" customHeight="true" outlineLevel="0" collapsed="false">
      <c r="A106" s="35" t="s">
        <v>233</v>
      </c>
      <c r="B106" s="35" t="s">
        <v>64</v>
      </c>
      <c r="C106" s="36" t="s">
        <v>146</v>
      </c>
      <c r="D106" s="37" t="s">
        <v>30</v>
      </c>
      <c r="E106" s="38"/>
      <c r="F106" s="38"/>
      <c r="H106" s="0" t="s">
        <v>214</v>
      </c>
      <c r="I106" s="0" t="n">
        <v>2</v>
      </c>
      <c r="J106" s="0" t="str">
        <f aca="false">IF(OR($D106="Not Met",$D106="Partially Met"),COUNTIF($D$5:$D106,"Not Met")+COUNTIF($D$5:$D106,"Partially Met"),"")</f>
        <v/>
      </c>
    </row>
    <row r="107" customFormat="false" ht="45.75" hidden="false" customHeight="true" outlineLevel="0" collapsed="false">
      <c r="A107" s="35" t="s">
        <v>234</v>
      </c>
      <c r="B107" s="35" t="s">
        <v>64</v>
      </c>
      <c r="C107" s="36" t="s">
        <v>148</v>
      </c>
      <c r="D107" s="37" t="s">
        <v>30</v>
      </c>
      <c r="E107" s="38"/>
      <c r="F107" s="38"/>
      <c r="H107" s="0" t="s">
        <v>214</v>
      </c>
      <c r="I107" s="0" t="n">
        <v>2</v>
      </c>
      <c r="J107" s="0" t="str">
        <f aca="false">IF(OR($D107="Not Met",$D107="Partially Met"),COUNTIF($D$5:$D107,"Not Met")+COUNTIF($D$5:$D107,"Partially Met"),"")</f>
        <v/>
      </c>
    </row>
    <row r="108" customFormat="false" ht="45.75" hidden="false" customHeight="true" outlineLevel="0" collapsed="false">
      <c r="A108" s="35" t="s">
        <v>235</v>
      </c>
      <c r="B108" s="35" t="s">
        <v>69</v>
      </c>
      <c r="C108" s="36" t="s">
        <v>236</v>
      </c>
      <c r="D108" s="37" t="s">
        <v>30</v>
      </c>
      <c r="E108" s="38"/>
      <c r="F108" s="38"/>
      <c r="H108" s="0" t="s">
        <v>214</v>
      </c>
      <c r="I108" s="0" t="n">
        <v>3</v>
      </c>
      <c r="J108" s="0" t="str">
        <f aca="false">IF(OR($D108="Not Met",$D108="Partially Met"),COUNTIF($D$5:$D108,"Not Met")+COUNTIF($D$5:$D108,"Partially Met"),"")</f>
        <v/>
      </c>
    </row>
    <row r="109" customFormat="false" ht="45.75" hidden="false" customHeight="true" outlineLevel="0" collapsed="false">
      <c r="A109" s="35" t="s">
        <v>237</v>
      </c>
      <c r="B109" s="35" t="s">
        <v>69</v>
      </c>
      <c r="C109" s="36" t="s">
        <v>238</v>
      </c>
      <c r="D109" s="37" t="s">
        <v>30</v>
      </c>
      <c r="E109" s="38"/>
      <c r="F109" s="38"/>
      <c r="H109" s="0" t="s">
        <v>214</v>
      </c>
      <c r="I109" s="0" t="n">
        <v>3</v>
      </c>
      <c r="J109" s="0" t="str">
        <f aca="false">IF(OR($D109="Not Met",$D109="Partially Met"),COUNTIF($D$5:$D109,"Not Met")+COUNTIF($D$5:$D109,"Partially Met"),"")</f>
        <v/>
      </c>
    </row>
    <row r="110" customFormat="false" ht="45.75" hidden="false" customHeight="true" outlineLevel="0" collapsed="false">
      <c r="A110" s="35" t="s">
        <v>239</v>
      </c>
      <c r="B110" s="35" t="s">
        <v>69</v>
      </c>
      <c r="C110" s="36" t="s">
        <v>240</v>
      </c>
      <c r="D110" s="37" t="s">
        <v>30</v>
      </c>
      <c r="E110" s="38"/>
      <c r="F110" s="38"/>
      <c r="H110" s="0" t="s">
        <v>214</v>
      </c>
      <c r="I110" s="0" t="n">
        <v>3</v>
      </c>
      <c r="J110" s="0" t="str">
        <f aca="false">IF(OR($D110="Not Met",$D110="Partially Met"),COUNTIF($D$5:$D110,"Not Met")+COUNTIF($D$5:$D110,"Partially Met"),"")</f>
        <v/>
      </c>
    </row>
    <row r="111" customFormat="false" ht="45.75" hidden="false" customHeight="true" outlineLevel="0" collapsed="false">
      <c r="A111" s="35" t="s">
        <v>241</v>
      </c>
      <c r="B111" s="35" t="s">
        <v>69</v>
      </c>
      <c r="C111" s="36" t="s">
        <v>156</v>
      </c>
      <c r="D111" s="37" t="s">
        <v>30</v>
      </c>
      <c r="E111" s="38"/>
      <c r="F111" s="38"/>
      <c r="H111" s="0" t="s">
        <v>214</v>
      </c>
      <c r="I111" s="0" t="n">
        <v>3</v>
      </c>
      <c r="J111" s="0" t="str">
        <f aca="false">IF(OR($D111="Not Met",$D111="Partially Met"),COUNTIF($D$5:$D111,"Not Met")+COUNTIF($D$5:$D111,"Partially Met"),"")</f>
        <v/>
      </c>
    </row>
    <row r="112" customFormat="false" ht="45.75" hidden="false" customHeight="true" outlineLevel="0" collapsed="false">
      <c r="A112" s="35" t="s">
        <v>242</v>
      </c>
      <c r="B112" s="35" t="s">
        <v>69</v>
      </c>
      <c r="C112" s="36" t="s">
        <v>158</v>
      </c>
      <c r="D112" s="37" t="s">
        <v>30</v>
      </c>
      <c r="E112" s="38"/>
      <c r="F112" s="38"/>
      <c r="H112" s="0" t="s">
        <v>214</v>
      </c>
      <c r="I112" s="0" t="n">
        <v>3</v>
      </c>
      <c r="J112" s="0" t="str">
        <f aca="false">IF(OR($D112="Not Met",$D112="Partially Met"),COUNTIF($D$5:$D112,"Not Met")+COUNTIF($D$5:$D112,"Partially Met"),"")</f>
        <v/>
      </c>
    </row>
    <row r="113" customFormat="false" ht="21.75" hidden="false" customHeight="true" outlineLevel="0" collapsed="false">
      <c r="A113" s="34" t="s">
        <v>243</v>
      </c>
      <c r="B113" s="34"/>
      <c r="C113" s="34"/>
      <c r="D113" s="34"/>
      <c r="E113" s="34"/>
      <c r="F113" s="34"/>
    </row>
    <row r="114" customFormat="false" ht="45.75" hidden="false" customHeight="true" outlineLevel="0" collapsed="false">
      <c r="A114" s="35" t="s">
        <v>244</v>
      </c>
      <c r="B114" s="35" t="s">
        <v>44</v>
      </c>
      <c r="C114" s="36" t="s">
        <v>245</v>
      </c>
      <c r="D114" s="37" t="s">
        <v>30</v>
      </c>
      <c r="E114" s="38"/>
      <c r="F114" s="38"/>
      <c r="H114" s="0" t="s">
        <v>246</v>
      </c>
      <c r="I114" s="0" t="n">
        <v>1</v>
      </c>
      <c r="J114" s="0" t="str">
        <f aca="false">IF(OR($D114="Not Met",$D114="Partially Met"),COUNTIF($D$5:$D114,"Not Met")+COUNTIF($D$5:$D114,"Partially Met"),"")</f>
        <v/>
      </c>
    </row>
    <row r="115" customFormat="false" ht="45.75" hidden="false" customHeight="true" outlineLevel="0" collapsed="false">
      <c r="A115" s="35" t="s">
        <v>247</v>
      </c>
      <c r="B115" s="35" t="s">
        <v>44</v>
      </c>
      <c r="C115" s="36" t="s">
        <v>248</v>
      </c>
      <c r="D115" s="37" t="s">
        <v>30</v>
      </c>
      <c r="E115" s="38"/>
      <c r="F115" s="38"/>
      <c r="H115" s="0" t="s">
        <v>246</v>
      </c>
      <c r="I115" s="0" t="n">
        <v>1</v>
      </c>
      <c r="J115" s="0" t="str">
        <f aca="false">IF(OR($D115="Not Met",$D115="Partially Met"),COUNTIF($D$5:$D115,"Not Met")+COUNTIF($D$5:$D115,"Partially Met"),"")</f>
        <v/>
      </c>
    </row>
    <row r="116" customFormat="false" ht="45.75" hidden="false" customHeight="true" outlineLevel="0" collapsed="false">
      <c r="A116" s="35" t="s">
        <v>249</v>
      </c>
      <c r="B116" s="35" t="s">
        <v>44</v>
      </c>
      <c r="C116" s="36" t="s">
        <v>250</v>
      </c>
      <c r="D116" s="37" t="s">
        <v>30</v>
      </c>
      <c r="E116" s="38"/>
      <c r="F116" s="38"/>
      <c r="H116" s="0" t="s">
        <v>246</v>
      </c>
      <c r="I116" s="0" t="n">
        <v>1</v>
      </c>
      <c r="J116" s="0" t="str">
        <f aca="false">IF(OR($D116="Not Met",$D116="Partially Met"),COUNTIF($D$5:$D116,"Not Met")+COUNTIF($D$5:$D116,"Partially Met"),"")</f>
        <v/>
      </c>
    </row>
    <row r="117" customFormat="false" ht="45.75" hidden="false" customHeight="true" outlineLevel="0" collapsed="false">
      <c r="A117" s="35" t="s">
        <v>251</v>
      </c>
      <c r="B117" s="35" t="s">
        <v>44</v>
      </c>
      <c r="C117" s="36" t="s">
        <v>252</v>
      </c>
      <c r="D117" s="37" t="s">
        <v>30</v>
      </c>
      <c r="E117" s="38"/>
      <c r="F117" s="38"/>
      <c r="H117" s="0" t="s">
        <v>246</v>
      </c>
      <c r="I117" s="0" t="n">
        <v>1</v>
      </c>
      <c r="J117" s="0" t="str">
        <f aca="false">IF(OR($D117="Not Met",$D117="Partially Met"),COUNTIF($D$5:$D117,"Not Met")+COUNTIF($D$5:$D117,"Partially Met"),"")</f>
        <v/>
      </c>
    </row>
    <row r="118" customFormat="false" ht="45.75" hidden="false" customHeight="true" outlineLevel="0" collapsed="false">
      <c r="A118" s="35" t="s">
        <v>253</v>
      </c>
      <c r="B118" s="35" t="s">
        <v>64</v>
      </c>
      <c r="C118" s="36" t="s">
        <v>254</v>
      </c>
      <c r="D118" s="37" t="s">
        <v>30</v>
      </c>
      <c r="E118" s="38"/>
      <c r="F118" s="38"/>
      <c r="H118" s="0" t="s">
        <v>246</v>
      </c>
      <c r="I118" s="0" t="n">
        <v>2</v>
      </c>
      <c r="J118" s="0" t="str">
        <f aca="false">IF(OR($D118="Not Met",$D118="Partially Met"),COUNTIF($D$5:$D118,"Not Met")+COUNTIF($D$5:$D118,"Partially Met"),"")</f>
        <v/>
      </c>
    </row>
    <row r="119" customFormat="false" ht="45.75" hidden="false" customHeight="true" outlineLevel="0" collapsed="false">
      <c r="A119" s="35" t="s">
        <v>255</v>
      </c>
      <c r="B119" s="35" t="s">
        <v>69</v>
      </c>
      <c r="C119" s="36" t="s">
        <v>256</v>
      </c>
      <c r="D119" s="37" t="s">
        <v>30</v>
      </c>
      <c r="E119" s="38"/>
      <c r="F119" s="38"/>
      <c r="H119" s="0" t="s">
        <v>246</v>
      </c>
      <c r="I119" s="0" t="n">
        <v>3</v>
      </c>
      <c r="J119" s="0" t="str">
        <f aca="false">IF(OR($D119="Not Met",$D119="Partially Met"),COUNTIF($D$5:$D119,"Not Met")+COUNTIF($D$5:$D119,"Partially Met"),"")</f>
        <v/>
      </c>
    </row>
    <row r="120" customFormat="false" ht="45.75" hidden="false" customHeight="true" outlineLevel="0" collapsed="false">
      <c r="A120" s="35" t="s">
        <v>257</v>
      </c>
      <c r="B120" s="35" t="s">
        <v>69</v>
      </c>
      <c r="C120" s="36" t="s">
        <v>258</v>
      </c>
      <c r="D120" s="37" t="s">
        <v>30</v>
      </c>
      <c r="E120" s="38"/>
      <c r="F120" s="38"/>
      <c r="H120" s="0" t="s">
        <v>246</v>
      </c>
      <c r="I120" s="0" t="n">
        <v>3</v>
      </c>
      <c r="J120" s="0" t="str">
        <f aca="false">IF(OR($D120="Not Met",$D120="Partially Met"),COUNTIF($D$5:$D120,"Not Met")+COUNTIF($D$5:$D120,"Partially Met"),"")</f>
        <v/>
      </c>
    </row>
    <row r="121" customFormat="false" ht="45.75" hidden="false" customHeight="true" outlineLevel="0" collapsed="false">
      <c r="A121" s="35" t="s">
        <v>259</v>
      </c>
      <c r="B121" s="35" t="s">
        <v>69</v>
      </c>
      <c r="C121" s="36" t="s">
        <v>260</v>
      </c>
      <c r="D121" s="37" t="s">
        <v>30</v>
      </c>
      <c r="E121" s="38"/>
      <c r="F121" s="38"/>
      <c r="H121" s="0" t="s">
        <v>246</v>
      </c>
      <c r="I121" s="0" t="n">
        <v>3</v>
      </c>
      <c r="J121" s="0" t="str">
        <f aca="false">IF(OR($D121="Not Met",$D121="Partially Met"),COUNTIF($D$5:$D121,"Not Met")+COUNTIF($D$5:$D121,"Partially Met"),"")</f>
        <v/>
      </c>
    </row>
    <row r="122" customFormat="false" ht="45.75" hidden="false" customHeight="true" outlineLevel="0" collapsed="false">
      <c r="A122" s="35" t="s">
        <v>261</v>
      </c>
      <c r="B122" s="35" t="s">
        <v>69</v>
      </c>
      <c r="C122" s="36" t="s">
        <v>262</v>
      </c>
      <c r="D122" s="37" t="s">
        <v>30</v>
      </c>
      <c r="E122" s="38"/>
      <c r="F122" s="38"/>
      <c r="H122" s="0" t="s">
        <v>246</v>
      </c>
      <c r="I122" s="0" t="n">
        <v>3</v>
      </c>
      <c r="J122" s="0" t="str">
        <f aca="false">IF(OR($D122="Not Met",$D122="Partially Met"),COUNTIF($D$5:$D122,"Not Met")+COUNTIF($D$5:$D122,"Partially Met"),"")</f>
        <v/>
      </c>
    </row>
    <row r="123" customFormat="false" ht="45.75" hidden="false" customHeight="true" outlineLevel="0" collapsed="false">
      <c r="A123" s="35" t="s">
        <v>263</v>
      </c>
      <c r="B123" s="35" t="s">
        <v>69</v>
      </c>
      <c r="C123" s="36" t="s">
        <v>264</v>
      </c>
      <c r="D123" s="37" t="s">
        <v>30</v>
      </c>
      <c r="E123" s="38"/>
      <c r="F123" s="38"/>
      <c r="H123" s="0" t="s">
        <v>246</v>
      </c>
      <c r="I123" s="0" t="n">
        <v>3</v>
      </c>
      <c r="J123" s="0" t="str">
        <f aca="false">IF(OR($D123="Not Met",$D123="Partially Met"),COUNTIF($D$5:$D123,"Not Met")+COUNTIF($D$5:$D123,"Partially Met"),"")</f>
        <v/>
      </c>
    </row>
    <row r="124" customFormat="false" ht="45.75" hidden="false" customHeight="true" outlineLevel="0" collapsed="false">
      <c r="A124" s="35" t="s">
        <v>265</v>
      </c>
      <c r="B124" s="35" t="s">
        <v>69</v>
      </c>
      <c r="C124" s="36" t="s">
        <v>266</v>
      </c>
      <c r="D124" s="37" t="s">
        <v>30</v>
      </c>
      <c r="E124" s="38"/>
      <c r="F124" s="38"/>
      <c r="H124" s="0" t="s">
        <v>246</v>
      </c>
      <c r="I124" s="0" t="n">
        <v>3</v>
      </c>
      <c r="J124" s="0" t="str">
        <f aca="false">IF(OR($D124="Not Met",$D124="Partially Met"),COUNTIF($D$5:$D124,"Not Met")+COUNTIF($D$5:$D124,"Partially Met"),"")</f>
        <v/>
      </c>
    </row>
    <row r="125" customFormat="false" ht="21.75" hidden="false" customHeight="true" outlineLevel="0" collapsed="false">
      <c r="A125" s="34" t="s">
        <v>267</v>
      </c>
      <c r="B125" s="34"/>
      <c r="C125" s="34"/>
      <c r="D125" s="34"/>
      <c r="E125" s="34"/>
      <c r="F125" s="34"/>
    </row>
    <row r="126" customFormat="false" ht="45.75" hidden="false" customHeight="true" outlineLevel="0" collapsed="false">
      <c r="A126" s="35" t="s">
        <v>268</v>
      </c>
      <c r="B126" s="35" t="s">
        <v>44</v>
      </c>
      <c r="C126" s="36" t="s">
        <v>269</v>
      </c>
      <c r="D126" s="37" t="s">
        <v>30</v>
      </c>
      <c r="E126" s="38"/>
      <c r="F126" s="38"/>
      <c r="H126" s="0" t="s">
        <v>270</v>
      </c>
      <c r="I126" s="0" t="n">
        <v>1</v>
      </c>
      <c r="J126" s="0" t="str">
        <f aca="false">IF(OR($D126="Not Met",$D126="Partially Met"),COUNTIF($D$5:$D126,"Not Met")+COUNTIF($D$5:$D126,"Partially Met"),"")</f>
        <v/>
      </c>
    </row>
    <row r="127" customFormat="false" ht="45.75" hidden="false" customHeight="true" outlineLevel="0" collapsed="false">
      <c r="A127" s="35" t="s">
        <v>271</v>
      </c>
      <c r="B127" s="35" t="s">
        <v>44</v>
      </c>
      <c r="C127" s="36" t="s">
        <v>272</v>
      </c>
      <c r="D127" s="37" t="s">
        <v>30</v>
      </c>
      <c r="E127" s="38"/>
      <c r="F127" s="38"/>
      <c r="H127" s="0" t="s">
        <v>270</v>
      </c>
      <c r="I127" s="0" t="n">
        <v>1</v>
      </c>
      <c r="J127" s="0" t="str">
        <f aca="false">IF(OR($D127="Not Met",$D127="Partially Met"),COUNTIF($D$5:$D127,"Not Met")+COUNTIF($D$5:$D127,"Partially Met"),"")</f>
        <v/>
      </c>
    </row>
    <row r="128" customFormat="false" ht="45.75" hidden="false" customHeight="true" outlineLevel="0" collapsed="false">
      <c r="A128" s="35" t="s">
        <v>273</v>
      </c>
      <c r="B128" s="35" t="s">
        <v>44</v>
      </c>
      <c r="C128" s="36" t="s">
        <v>274</v>
      </c>
      <c r="D128" s="37" t="s">
        <v>30</v>
      </c>
      <c r="E128" s="38"/>
      <c r="F128" s="38"/>
      <c r="H128" s="0" t="s">
        <v>270</v>
      </c>
      <c r="I128" s="0" t="n">
        <v>1</v>
      </c>
      <c r="J128" s="0" t="str">
        <f aca="false">IF(OR($D128="Not Met",$D128="Partially Met"),COUNTIF($D$5:$D128,"Not Met")+COUNTIF($D$5:$D128,"Partially Met"),"")</f>
        <v/>
      </c>
    </row>
    <row r="129" customFormat="false" ht="45.75" hidden="false" customHeight="true" outlineLevel="0" collapsed="false">
      <c r="A129" s="35" t="s">
        <v>275</v>
      </c>
      <c r="B129" s="35" t="s">
        <v>44</v>
      </c>
      <c r="C129" s="36" t="s">
        <v>276</v>
      </c>
      <c r="D129" s="37" t="s">
        <v>30</v>
      </c>
      <c r="E129" s="38"/>
      <c r="F129" s="38"/>
      <c r="H129" s="0" t="s">
        <v>270</v>
      </c>
      <c r="I129" s="0" t="n">
        <v>1</v>
      </c>
      <c r="J129" s="0" t="str">
        <f aca="false">IF(OR($D129="Not Met",$D129="Partially Met"),COUNTIF($D$5:$D129,"Not Met")+COUNTIF($D$5:$D129,"Partially Met"),"")</f>
        <v/>
      </c>
    </row>
    <row r="130" customFormat="false" ht="45.75" hidden="false" customHeight="true" outlineLevel="0" collapsed="false">
      <c r="A130" s="35" t="s">
        <v>277</v>
      </c>
      <c r="B130" s="35" t="s">
        <v>64</v>
      </c>
      <c r="C130" s="36" t="s">
        <v>278</v>
      </c>
      <c r="D130" s="37" t="s">
        <v>30</v>
      </c>
      <c r="E130" s="38"/>
      <c r="F130" s="38"/>
      <c r="H130" s="0" t="s">
        <v>270</v>
      </c>
      <c r="I130" s="0" t="n">
        <v>2</v>
      </c>
      <c r="J130" s="0" t="str">
        <f aca="false">IF(OR($D130="Not Met",$D130="Partially Met"),COUNTIF($D$5:$D130,"Not Met")+COUNTIF($D$5:$D130,"Partially Met"),"")</f>
        <v/>
      </c>
    </row>
    <row r="131" customFormat="false" ht="45.75" hidden="false" customHeight="true" outlineLevel="0" collapsed="false">
      <c r="A131" s="35" t="s">
        <v>279</v>
      </c>
      <c r="B131" s="35" t="s">
        <v>64</v>
      </c>
      <c r="C131" s="36" t="s">
        <v>280</v>
      </c>
      <c r="D131" s="37" t="s">
        <v>30</v>
      </c>
      <c r="E131" s="38"/>
      <c r="F131" s="38"/>
      <c r="H131" s="0" t="s">
        <v>270</v>
      </c>
      <c r="I131" s="0" t="n">
        <v>2</v>
      </c>
      <c r="J131" s="0" t="str">
        <f aca="false">IF(OR($D131="Not Met",$D131="Partially Met"),COUNTIF($D$5:$D131,"Not Met")+COUNTIF($D$5:$D131,"Partially Met"),"")</f>
        <v/>
      </c>
    </row>
    <row r="132" customFormat="false" ht="45.75" hidden="false" customHeight="true" outlineLevel="0" collapsed="false">
      <c r="A132" s="35" t="s">
        <v>281</v>
      </c>
      <c r="B132" s="35" t="s">
        <v>64</v>
      </c>
      <c r="C132" s="36" t="s">
        <v>282</v>
      </c>
      <c r="D132" s="37" t="s">
        <v>30</v>
      </c>
      <c r="E132" s="38"/>
      <c r="F132" s="38"/>
      <c r="H132" s="0" t="s">
        <v>270</v>
      </c>
      <c r="I132" s="0" t="n">
        <v>2</v>
      </c>
      <c r="J132" s="0" t="str">
        <f aca="false">IF(OR($D132="Not Met",$D132="Partially Met"),COUNTIF($D$5:$D132,"Not Met")+COUNTIF($D$5:$D132,"Partially Met"),"")</f>
        <v/>
      </c>
    </row>
    <row r="133" customFormat="false" ht="45.75" hidden="false" customHeight="true" outlineLevel="0" collapsed="false">
      <c r="A133" s="35" t="s">
        <v>283</v>
      </c>
      <c r="B133" s="35" t="s">
        <v>64</v>
      </c>
      <c r="C133" s="36" t="s">
        <v>284</v>
      </c>
      <c r="D133" s="37" t="s">
        <v>30</v>
      </c>
      <c r="E133" s="38"/>
      <c r="F133" s="38"/>
      <c r="H133" s="0" t="s">
        <v>270</v>
      </c>
      <c r="I133" s="0" t="n">
        <v>2</v>
      </c>
      <c r="J133" s="0" t="str">
        <f aca="false">IF(OR($D133="Not Met",$D133="Partially Met"),COUNTIF($D$5:$D133,"Not Met")+COUNTIF($D$5:$D133,"Partially Met"),"")</f>
        <v/>
      </c>
    </row>
    <row r="134" customFormat="false" ht="45.75" hidden="false" customHeight="true" outlineLevel="0" collapsed="false">
      <c r="A134" s="35" t="s">
        <v>285</v>
      </c>
      <c r="B134" s="35" t="s">
        <v>64</v>
      </c>
      <c r="C134" s="36" t="s">
        <v>286</v>
      </c>
      <c r="D134" s="37" t="s">
        <v>30</v>
      </c>
      <c r="E134" s="38"/>
      <c r="F134" s="38"/>
      <c r="H134" s="0" t="s">
        <v>270</v>
      </c>
      <c r="I134" s="0" t="n">
        <v>2</v>
      </c>
      <c r="J134" s="0" t="str">
        <f aca="false">IF(OR($D134="Not Met",$D134="Partially Met"),COUNTIF($D$5:$D134,"Not Met")+COUNTIF($D$5:$D134,"Partially Met"),"")</f>
        <v/>
      </c>
    </row>
    <row r="135" customFormat="false" ht="45.75" hidden="false" customHeight="true" outlineLevel="0" collapsed="false">
      <c r="A135" s="35" t="s">
        <v>287</v>
      </c>
      <c r="B135" s="35" t="s">
        <v>64</v>
      </c>
      <c r="C135" s="36" t="s">
        <v>288</v>
      </c>
      <c r="D135" s="37" t="s">
        <v>30</v>
      </c>
      <c r="E135" s="38"/>
      <c r="F135" s="38"/>
      <c r="H135" s="0" t="s">
        <v>270</v>
      </c>
      <c r="I135" s="0" t="n">
        <v>2</v>
      </c>
      <c r="J135" s="0" t="str">
        <f aca="false">IF(OR($D135="Not Met",$D135="Partially Met"),COUNTIF($D$5:$D135,"Not Met")+COUNTIF($D$5:$D135,"Partially Met"),"")</f>
        <v/>
      </c>
    </row>
    <row r="136" customFormat="false" ht="45.75" hidden="false" customHeight="true" outlineLevel="0" collapsed="false">
      <c r="A136" s="35" t="s">
        <v>289</v>
      </c>
      <c r="B136" s="35" t="s">
        <v>64</v>
      </c>
      <c r="C136" s="36" t="s">
        <v>290</v>
      </c>
      <c r="D136" s="37" t="s">
        <v>30</v>
      </c>
      <c r="E136" s="38"/>
      <c r="F136" s="38"/>
      <c r="H136" s="0" t="s">
        <v>270</v>
      </c>
      <c r="I136" s="0" t="n">
        <v>2</v>
      </c>
      <c r="J136" s="0" t="str">
        <f aca="false">IF(OR($D136="Not Met",$D136="Partially Met"),COUNTIF($D$5:$D136,"Not Met")+COUNTIF($D$5:$D136,"Partially Met"),"")</f>
        <v/>
      </c>
    </row>
    <row r="137" customFormat="false" ht="45.75" hidden="false" customHeight="true" outlineLevel="0" collapsed="false">
      <c r="A137" s="35" t="s">
        <v>291</v>
      </c>
      <c r="B137" s="35" t="s">
        <v>64</v>
      </c>
      <c r="C137" s="36" t="s">
        <v>292</v>
      </c>
      <c r="D137" s="37" t="s">
        <v>30</v>
      </c>
      <c r="E137" s="38"/>
      <c r="F137" s="38"/>
      <c r="H137" s="0" t="s">
        <v>270</v>
      </c>
      <c r="I137" s="0" t="n">
        <v>2</v>
      </c>
      <c r="J137" s="0" t="str">
        <f aca="false">IF(OR($D137="Not Met",$D137="Partially Met"),COUNTIF($D$5:$D137,"Not Met")+COUNTIF($D$5:$D137,"Partially Met"),"")</f>
        <v/>
      </c>
    </row>
    <row r="138" customFormat="false" ht="45.75" hidden="false" customHeight="true" outlineLevel="0" collapsed="false">
      <c r="A138" s="35" t="s">
        <v>293</v>
      </c>
      <c r="B138" s="35" t="s">
        <v>64</v>
      </c>
      <c r="C138" s="36" t="s">
        <v>294</v>
      </c>
      <c r="D138" s="37" t="s">
        <v>30</v>
      </c>
      <c r="E138" s="38"/>
      <c r="F138" s="38"/>
      <c r="H138" s="0" t="s">
        <v>270</v>
      </c>
      <c r="I138" s="0" t="n">
        <v>2</v>
      </c>
      <c r="J138" s="0" t="str">
        <f aca="false">IF(OR($D138="Not Met",$D138="Partially Met"),COUNTIF($D$5:$D138,"Not Met")+COUNTIF($D$5:$D138,"Partially Met"),"")</f>
        <v/>
      </c>
    </row>
    <row r="139" customFormat="false" ht="45.75" hidden="false" customHeight="true" outlineLevel="0" collapsed="false">
      <c r="A139" s="35" t="s">
        <v>295</v>
      </c>
      <c r="B139" s="35" t="s">
        <v>64</v>
      </c>
      <c r="C139" s="36" t="s">
        <v>296</v>
      </c>
      <c r="D139" s="37" t="s">
        <v>30</v>
      </c>
      <c r="E139" s="38"/>
      <c r="F139" s="38"/>
      <c r="H139" s="0" t="s">
        <v>270</v>
      </c>
      <c r="I139" s="0" t="n">
        <v>2</v>
      </c>
      <c r="J139" s="0" t="str">
        <f aca="false">IF(OR($D139="Not Met",$D139="Partially Met"),COUNTIF($D$5:$D139,"Not Met")+COUNTIF($D$5:$D139,"Partially Met"),"")</f>
        <v/>
      </c>
    </row>
    <row r="140" customFormat="false" ht="45.75" hidden="false" customHeight="true" outlineLevel="0" collapsed="false">
      <c r="A140" s="35" t="s">
        <v>297</v>
      </c>
      <c r="B140" s="35" t="s">
        <v>64</v>
      </c>
      <c r="C140" s="36" t="s">
        <v>298</v>
      </c>
      <c r="D140" s="37" t="s">
        <v>30</v>
      </c>
      <c r="E140" s="38"/>
      <c r="F140" s="38"/>
      <c r="H140" s="0" t="s">
        <v>270</v>
      </c>
      <c r="I140" s="0" t="n">
        <v>2</v>
      </c>
      <c r="J140" s="0" t="str">
        <f aca="false">IF(OR($D140="Not Met",$D140="Partially Met"),COUNTIF($D$5:$D140,"Not Met")+COUNTIF($D$5:$D140,"Partially Met"),"")</f>
        <v/>
      </c>
    </row>
    <row r="141" customFormat="false" ht="45.75" hidden="false" customHeight="true" outlineLevel="0" collapsed="false">
      <c r="A141" s="35" t="s">
        <v>299</v>
      </c>
      <c r="B141" s="35" t="s">
        <v>64</v>
      </c>
      <c r="C141" s="36" t="s">
        <v>300</v>
      </c>
      <c r="D141" s="37" t="s">
        <v>30</v>
      </c>
      <c r="E141" s="38"/>
      <c r="F141" s="38"/>
      <c r="H141" s="0" t="s">
        <v>270</v>
      </c>
      <c r="I141" s="0" t="n">
        <v>2</v>
      </c>
      <c r="J141" s="0" t="str">
        <f aca="false">IF(OR($D141="Not Met",$D141="Partially Met"),COUNTIF($D$5:$D141,"Not Met")+COUNTIF($D$5:$D141,"Partially Met"),"")</f>
        <v/>
      </c>
    </row>
    <row r="142" customFormat="false" ht="45.75" hidden="false" customHeight="true" outlineLevel="0" collapsed="false">
      <c r="A142" s="35" t="s">
        <v>301</v>
      </c>
      <c r="B142" s="35" t="s">
        <v>64</v>
      </c>
      <c r="C142" s="36" t="s">
        <v>138</v>
      </c>
      <c r="D142" s="37" t="s">
        <v>30</v>
      </c>
      <c r="E142" s="38"/>
      <c r="F142" s="38"/>
      <c r="H142" s="0" t="s">
        <v>270</v>
      </c>
      <c r="I142" s="0" t="n">
        <v>2</v>
      </c>
      <c r="J142" s="0" t="str">
        <f aca="false">IF(OR($D142="Not Met",$D142="Partially Met"),COUNTIF($D$5:$D142,"Not Met")+COUNTIF($D$5:$D142,"Partially Met"),"")</f>
        <v/>
      </c>
    </row>
    <row r="143" customFormat="false" ht="45.75" hidden="false" customHeight="true" outlineLevel="0" collapsed="false">
      <c r="A143" s="35" t="s">
        <v>302</v>
      </c>
      <c r="B143" s="35" t="s">
        <v>64</v>
      </c>
      <c r="C143" s="36" t="s">
        <v>140</v>
      </c>
      <c r="D143" s="37" t="s">
        <v>30</v>
      </c>
      <c r="E143" s="38"/>
      <c r="F143" s="38"/>
      <c r="H143" s="0" t="s">
        <v>270</v>
      </c>
      <c r="I143" s="0" t="n">
        <v>2</v>
      </c>
      <c r="J143" s="0" t="str">
        <f aca="false">IF(OR($D143="Not Met",$D143="Partially Met"),COUNTIF($D$5:$D143,"Not Met")+COUNTIF($D$5:$D143,"Partially Met"),"")</f>
        <v/>
      </c>
    </row>
    <row r="144" customFormat="false" ht="45.75" hidden="false" customHeight="true" outlineLevel="0" collapsed="false">
      <c r="A144" s="35" t="s">
        <v>303</v>
      </c>
      <c r="B144" s="35" t="s">
        <v>64</v>
      </c>
      <c r="C144" s="36" t="s">
        <v>142</v>
      </c>
      <c r="D144" s="37" t="s">
        <v>30</v>
      </c>
      <c r="E144" s="38"/>
      <c r="F144" s="38"/>
      <c r="H144" s="0" t="s">
        <v>270</v>
      </c>
      <c r="I144" s="0" t="n">
        <v>2</v>
      </c>
      <c r="J144" s="0" t="str">
        <f aca="false">IF(OR($D144="Not Met",$D144="Partially Met"),COUNTIF($D$5:$D144,"Not Met")+COUNTIF($D$5:$D144,"Partially Met"),"")</f>
        <v/>
      </c>
    </row>
    <row r="145" customFormat="false" ht="45.75" hidden="false" customHeight="true" outlineLevel="0" collapsed="false">
      <c r="A145" s="35" t="s">
        <v>304</v>
      </c>
      <c r="B145" s="35" t="s">
        <v>64</v>
      </c>
      <c r="C145" s="36" t="s">
        <v>144</v>
      </c>
      <c r="D145" s="37" t="s">
        <v>30</v>
      </c>
      <c r="E145" s="38"/>
      <c r="F145" s="38"/>
      <c r="H145" s="0" t="s">
        <v>270</v>
      </c>
      <c r="I145" s="0" t="n">
        <v>2</v>
      </c>
      <c r="J145" s="0" t="str">
        <f aca="false">IF(OR($D145="Not Met",$D145="Partially Met"),COUNTIF($D$5:$D145,"Not Met")+COUNTIF($D$5:$D145,"Partially Met"),"")</f>
        <v/>
      </c>
    </row>
    <row r="146" customFormat="false" ht="45.75" hidden="false" customHeight="true" outlineLevel="0" collapsed="false">
      <c r="A146" s="35" t="s">
        <v>305</v>
      </c>
      <c r="B146" s="35" t="s">
        <v>64</v>
      </c>
      <c r="C146" s="36" t="s">
        <v>146</v>
      </c>
      <c r="D146" s="37" t="s">
        <v>30</v>
      </c>
      <c r="E146" s="38"/>
      <c r="F146" s="38"/>
      <c r="H146" s="0" t="s">
        <v>270</v>
      </c>
      <c r="I146" s="0" t="n">
        <v>2</v>
      </c>
      <c r="J146" s="0" t="str">
        <f aca="false">IF(OR($D146="Not Met",$D146="Partially Met"),COUNTIF($D$5:$D146,"Not Met")+COUNTIF($D$5:$D146,"Partially Met"),"")</f>
        <v/>
      </c>
    </row>
    <row r="147" customFormat="false" ht="45.75" hidden="false" customHeight="true" outlineLevel="0" collapsed="false">
      <c r="A147" s="35" t="s">
        <v>306</v>
      </c>
      <c r="B147" s="35" t="s">
        <v>64</v>
      </c>
      <c r="C147" s="36" t="s">
        <v>148</v>
      </c>
      <c r="D147" s="37" t="s">
        <v>30</v>
      </c>
      <c r="E147" s="38"/>
      <c r="F147" s="38"/>
      <c r="H147" s="0" t="s">
        <v>270</v>
      </c>
      <c r="I147" s="0" t="n">
        <v>2</v>
      </c>
      <c r="J147" s="0" t="str">
        <f aca="false">IF(OR($D147="Not Met",$D147="Partially Met"),COUNTIF($D$5:$D147,"Not Met")+COUNTIF($D$5:$D147,"Partially Met"),"")</f>
        <v/>
      </c>
    </row>
    <row r="148" customFormat="false" ht="45.75" hidden="false" customHeight="true" outlineLevel="0" collapsed="false">
      <c r="A148" s="35" t="s">
        <v>307</v>
      </c>
      <c r="B148" s="35" t="s">
        <v>69</v>
      </c>
      <c r="C148" s="36" t="s">
        <v>308</v>
      </c>
      <c r="D148" s="37" t="s">
        <v>30</v>
      </c>
      <c r="E148" s="38"/>
      <c r="F148" s="38"/>
      <c r="H148" s="0" t="s">
        <v>270</v>
      </c>
      <c r="I148" s="0" t="n">
        <v>3</v>
      </c>
      <c r="J148" s="0" t="str">
        <f aca="false">IF(OR($D148="Not Met",$D148="Partially Met"),COUNTIF($D$5:$D148,"Not Met")+COUNTIF($D$5:$D148,"Partially Met"),"")</f>
        <v/>
      </c>
    </row>
    <row r="149" customFormat="false" ht="45.75" hidden="false" customHeight="true" outlineLevel="0" collapsed="false">
      <c r="A149" s="35" t="s">
        <v>309</v>
      </c>
      <c r="B149" s="35" t="s">
        <v>69</v>
      </c>
      <c r="C149" s="36" t="s">
        <v>310</v>
      </c>
      <c r="D149" s="37" t="s">
        <v>30</v>
      </c>
      <c r="E149" s="38"/>
      <c r="F149" s="38"/>
      <c r="H149" s="0" t="s">
        <v>270</v>
      </c>
      <c r="I149" s="0" t="n">
        <v>3</v>
      </c>
      <c r="J149" s="0" t="str">
        <f aca="false">IF(OR($D149="Not Met",$D149="Partially Met"),COUNTIF($D$5:$D149,"Not Met")+COUNTIF($D$5:$D149,"Partially Met"),"")</f>
        <v/>
      </c>
    </row>
    <row r="150" customFormat="false" ht="45.75" hidden="false" customHeight="true" outlineLevel="0" collapsed="false">
      <c r="A150" s="35" t="s">
        <v>311</v>
      </c>
      <c r="B150" s="35" t="s">
        <v>69</v>
      </c>
      <c r="C150" s="36" t="s">
        <v>312</v>
      </c>
      <c r="D150" s="37" t="s">
        <v>30</v>
      </c>
      <c r="E150" s="38"/>
      <c r="F150" s="38"/>
      <c r="H150" s="0" t="s">
        <v>270</v>
      </c>
      <c r="I150" s="0" t="n">
        <v>3</v>
      </c>
      <c r="J150" s="0" t="str">
        <f aca="false">IF(OR($D150="Not Met",$D150="Partially Met"),COUNTIF($D$5:$D150,"Not Met")+COUNTIF($D$5:$D150,"Partially Met"),"")</f>
        <v/>
      </c>
    </row>
    <row r="151" customFormat="false" ht="45.75" hidden="false" customHeight="true" outlineLevel="0" collapsed="false">
      <c r="A151" s="35" t="s">
        <v>313</v>
      </c>
      <c r="B151" s="35" t="s">
        <v>69</v>
      </c>
      <c r="C151" s="36" t="s">
        <v>156</v>
      </c>
      <c r="D151" s="37" t="s">
        <v>30</v>
      </c>
      <c r="E151" s="38"/>
      <c r="F151" s="38"/>
      <c r="H151" s="0" t="s">
        <v>270</v>
      </c>
      <c r="I151" s="0" t="n">
        <v>3</v>
      </c>
      <c r="J151" s="0" t="str">
        <f aca="false">IF(OR($D151="Not Met",$D151="Partially Met"),COUNTIF($D$5:$D151,"Not Met")+COUNTIF($D$5:$D151,"Partially Met"),"")</f>
        <v/>
      </c>
    </row>
    <row r="152" customFormat="false" ht="45.75" hidden="false" customHeight="true" outlineLevel="0" collapsed="false">
      <c r="A152" s="35" t="s">
        <v>314</v>
      </c>
      <c r="B152" s="35" t="s">
        <v>69</v>
      </c>
      <c r="C152" s="36" t="s">
        <v>158</v>
      </c>
      <c r="D152" s="37" t="s">
        <v>30</v>
      </c>
      <c r="E152" s="38"/>
      <c r="F152" s="38"/>
      <c r="H152" s="0" t="s">
        <v>270</v>
      </c>
      <c r="I152" s="0" t="n">
        <v>3</v>
      </c>
      <c r="J152" s="0" t="str">
        <f aca="false">IF(OR($D152="Not Met",$D152="Partially Met"),COUNTIF($D$5:$D152,"Not Met")+COUNTIF($D$5:$D152,"Partially Met"),"")</f>
        <v/>
      </c>
    </row>
    <row r="153" customFormat="false" ht="21.75" hidden="false" customHeight="true" outlineLevel="0" collapsed="false">
      <c r="A153" s="34" t="s">
        <v>315</v>
      </c>
      <c r="B153" s="34"/>
      <c r="C153" s="34"/>
      <c r="D153" s="34"/>
      <c r="E153" s="34"/>
      <c r="F153" s="34"/>
    </row>
    <row r="154" customFormat="false" ht="45.75" hidden="false" customHeight="true" outlineLevel="0" collapsed="false">
      <c r="A154" s="35" t="s">
        <v>316</v>
      </c>
      <c r="B154" s="35" t="s">
        <v>44</v>
      </c>
      <c r="C154" s="36" t="s">
        <v>317</v>
      </c>
      <c r="D154" s="37" t="s">
        <v>30</v>
      </c>
      <c r="E154" s="38"/>
      <c r="F154" s="38"/>
      <c r="H154" s="0" t="s">
        <v>318</v>
      </c>
      <c r="I154" s="0" t="n">
        <v>1</v>
      </c>
      <c r="J154" s="0" t="str">
        <f aca="false">IF(OR($D154="Not Met",$D154="Partially Met"),COUNTIF($D$5:$D154,"Not Met")+COUNTIF($D$5:$D154,"Partially Met"),"")</f>
        <v/>
      </c>
    </row>
    <row r="155" customFormat="false" ht="45.75" hidden="false" customHeight="true" outlineLevel="0" collapsed="false">
      <c r="A155" s="35" t="s">
        <v>319</v>
      </c>
      <c r="B155" s="35" t="s">
        <v>44</v>
      </c>
      <c r="C155" s="36" t="s">
        <v>320</v>
      </c>
      <c r="D155" s="37" t="s">
        <v>30</v>
      </c>
      <c r="E155" s="38"/>
      <c r="F155" s="38"/>
      <c r="H155" s="0" t="s">
        <v>318</v>
      </c>
      <c r="I155" s="0" t="n">
        <v>1</v>
      </c>
      <c r="J155" s="0" t="str">
        <f aca="false">IF(OR($D155="Not Met",$D155="Partially Met"),COUNTIF($D$5:$D155,"Not Met")+COUNTIF($D$5:$D155,"Partially Met"),"")</f>
        <v/>
      </c>
    </row>
    <row r="156" customFormat="false" ht="45.75" hidden="false" customHeight="true" outlineLevel="0" collapsed="false">
      <c r="A156" s="35" t="s">
        <v>321</v>
      </c>
      <c r="B156" s="35" t="s">
        <v>44</v>
      </c>
      <c r="C156" s="36" t="s">
        <v>322</v>
      </c>
      <c r="D156" s="37" t="s">
        <v>30</v>
      </c>
      <c r="E156" s="38"/>
      <c r="F156" s="38"/>
      <c r="H156" s="0" t="s">
        <v>318</v>
      </c>
      <c r="I156" s="0" t="n">
        <v>1</v>
      </c>
      <c r="J156" s="0" t="str">
        <f aca="false">IF(OR($D156="Not Met",$D156="Partially Met"),COUNTIF($D$5:$D156,"Not Met")+COUNTIF($D$5:$D156,"Partially Met"),"")</f>
        <v/>
      </c>
    </row>
    <row r="157" customFormat="false" ht="45.75" hidden="false" customHeight="true" outlineLevel="0" collapsed="false">
      <c r="A157" s="35" t="s">
        <v>323</v>
      </c>
      <c r="B157" s="35" t="s">
        <v>44</v>
      </c>
      <c r="C157" s="36" t="s">
        <v>324</v>
      </c>
      <c r="D157" s="37" t="s">
        <v>30</v>
      </c>
      <c r="E157" s="38"/>
      <c r="F157" s="38"/>
      <c r="H157" s="0" t="s">
        <v>318</v>
      </c>
      <c r="I157" s="0" t="n">
        <v>1</v>
      </c>
      <c r="J157" s="0" t="str">
        <f aca="false">IF(OR($D157="Not Met",$D157="Partially Met"),COUNTIF($D$5:$D157,"Not Met")+COUNTIF($D$5:$D157,"Partially Met"),"")</f>
        <v/>
      </c>
    </row>
    <row r="158" customFormat="false" ht="45.75" hidden="false" customHeight="true" outlineLevel="0" collapsed="false">
      <c r="A158" s="35" t="s">
        <v>325</v>
      </c>
      <c r="B158" s="35" t="s">
        <v>44</v>
      </c>
      <c r="C158" s="36" t="s">
        <v>326</v>
      </c>
      <c r="D158" s="37" t="s">
        <v>30</v>
      </c>
      <c r="E158" s="38"/>
      <c r="F158" s="38"/>
      <c r="H158" s="0" t="s">
        <v>318</v>
      </c>
      <c r="I158" s="0" t="n">
        <v>1</v>
      </c>
      <c r="J158" s="0" t="str">
        <f aca="false">IF(OR($D158="Not Met",$D158="Partially Met"),COUNTIF($D$5:$D158,"Not Met")+COUNTIF($D$5:$D158,"Partially Met"),"")</f>
        <v/>
      </c>
    </row>
    <row r="159" customFormat="false" ht="45.75" hidden="false" customHeight="true" outlineLevel="0" collapsed="false">
      <c r="A159" s="35" t="s">
        <v>327</v>
      </c>
      <c r="B159" s="35" t="s">
        <v>44</v>
      </c>
      <c r="C159" s="36" t="s">
        <v>328</v>
      </c>
      <c r="D159" s="37" t="s">
        <v>30</v>
      </c>
      <c r="E159" s="38"/>
      <c r="F159" s="38"/>
      <c r="H159" s="0" t="s">
        <v>318</v>
      </c>
      <c r="I159" s="0" t="n">
        <v>1</v>
      </c>
      <c r="J159" s="0" t="str">
        <f aca="false">IF(OR($D159="Not Met",$D159="Partially Met"),COUNTIF($D$5:$D159,"Not Met")+COUNTIF($D$5:$D159,"Partially Met"),"")</f>
        <v/>
      </c>
    </row>
    <row r="160" customFormat="false" ht="45.75" hidden="false" customHeight="true" outlineLevel="0" collapsed="false">
      <c r="A160" s="35" t="s">
        <v>329</v>
      </c>
      <c r="B160" s="35" t="s">
        <v>64</v>
      </c>
      <c r="C160" s="36" t="s">
        <v>330</v>
      </c>
      <c r="D160" s="37" t="s">
        <v>30</v>
      </c>
      <c r="E160" s="38"/>
      <c r="F160" s="38"/>
      <c r="H160" s="0" t="s">
        <v>318</v>
      </c>
      <c r="I160" s="0" t="n">
        <v>2</v>
      </c>
      <c r="J160" s="0" t="str">
        <f aca="false">IF(OR($D160="Not Met",$D160="Partially Met"),COUNTIF($D$5:$D160,"Not Met")+COUNTIF($D$5:$D160,"Partially Met"),"")</f>
        <v/>
      </c>
    </row>
    <row r="161" customFormat="false" ht="45.75" hidden="false" customHeight="true" outlineLevel="0" collapsed="false">
      <c r="A161" s="35" t="s">
        <v>331</v>
      </c>
      <c r="B161" s="35" t="s">
        <v>64</v>
      </c>
      <c r="C161" s="36" t="s">
        <v>332</v>
      </c>
      <c r="D161" s="37" t="s">
        <v>30</v>
      </c>
      <c r="E161" s="38"/>
      <c r="F161" s="38"/>
      <c r="H161" s="0" t="s">
        <v>318</v>
      </c>
      <c r="I161" s="0" t="n">
        <v>2</v>
      </c>
      <c r="J161" s="0" t="str">
        <f aca="false">IF(OR($D161="Not Met",$D161="Partially Met"),COUNTIF($D$5:$D161,"Not Met")+COUNTIF($D$5:$D161,"Partially Met"),"")</f>
        <v/>
      </c>
    </row>
    <row r="162" customFormat="false" ht="45.75" hidden="false" customHeight="true" outlineLevel="0" collapsed="false">
      <c r="A162" s="35" t="s">
        <v>333</v>
      </c>
      <c r="B162" s="35" t="s">
        <v>69</v>
      </c>
      <c r="C162" s="36" t="s">
        <v>334</v>
      </c>
      <c r="D162" s="37" t="s">
        <v>30</v>
      </c>
      <c r="E162" s="38"/>
      <c r="F162" s="38"/>
      <c r="H162" s="0" t="s">
        <v>318</v>
      </c>
      <c r="I162" s="0" t="n">
        <v>3</v>
      </c>
      <c r="J162" s="0" t="str">
        <f aca="false">IF(OR($D162="Not Met",$D162="Partially Met"),COUNTIF($D$5:$D162,"Not Met")+COUNTIF($D$5:$D162,"Partially Met"),"")</f>
        <v/>
      </c>
    </row>
    <row r="163" customFormat="false" ht="45.75" hidden="false" customHeight="true" outlineLevel="0" collapsed="false">
      <c r="A163" s="35" t="s">
        <v>335</v>
      </c>
      <c r="B163" s="35" t="s">
        <v>69</v>
      </c>
      <c r="C163" s="36" t="s">
        <v>336</v>
      </c>
      <c r="D163" s="37" t="s">
        <v>30</v>
      </c>
      <c r="E163" s="38"/>
      <c r="F163" s="38"/>
      <c r="H163" s="0" t="s">
        <v>318</v>
      </c>
      <c r="I163" s="0" t="n">
        <v>3</v>
      </c>
      <c r="J163" s="0" t="str">
        <f aca="false">IF(OR($D163="Not Met",$D163="Partially Met"),COUNTIF($D$5:$D163,"Not Met")+COUNTIF($D$5:$D163,"Partially Met"),"")</f>
        <v/>
      </c>
    </row>
    <row r="164" customFormat="false" ht="45.75" hidden="false" customHeight="true" outlineLevel="0" collapsed="false">
      <c r="A164" s="35" t="s">
        <v>337</v>
      </c>
      <c r="B164" s="35" t="s">
        <v>69</v>
      </c>
      <c r="C164" s="36" t="s">
        <v>338</v>
      </c>
      <c r="D164" s="37" t="s">
        <v>30</v>
      </c>
      <c r="E164" s="38"/>
      <c r="F164" s="38"/>
      <c r="H164" s="0" t="s">
        <v>318</v>
      </c>
      <c r="I164" s="0" t="n">
        <v>3</v>
      </c>
      <c r="J164" s="0" t="str">
        <f aca="false">IF(OR($D164="Not Met",$D164="Partially Met"),COUNTIF($D$5:$D164,"Not Met")+COUNTIF($D$5:$D164,"Partially Met"),"")</f>
        <v/>
      </c>
    </row>
  </sheetData>
  <sheetProtection sheet="true" password="DEF8" formatColumns="false" formatRows="false" sort="false" autoFilter="false"/>
  <mergeCells count="10">
    <mergeCell ref="A1:F1"/>
    <mergeCell ref="A2:F2"/>
    <mergeCell ref="A5:F5"/>
    <mergeCell ref="A20:F20"/>
    <mergeCell ref="A38:F38"/>
    <mergeCell ref="A63:F63"/>
    <mergeCell ref="A93:F93"/>
    <mergeCell ref="A113:F113"/>
    <mergeCell ref="A125:F125"/>
    <mergeCell ref="A153:F153"/>
  </mergeCells>
  <conditionalFormatting sqref="A5:F164">
    <cfRule type="expression" priority="2" aboveAverage="0" equalAverage="0" bottom="0" percent="0" rank="0" text="" dxfId="0">
      <formula>$I5&gt;$K$2</formula>
    </cfRule>
  </conditionalFormatting>
  <conditionalFormatting sqref="D5:D164">
    <cfRule type="cellIs" priority="3" operator="equal" aboveAverage="0" equalAverage="0" bottom="0" percent="0" rank="0" text="" dxfId="1">
      <formula>"Met"</formula>
    </cfRule>
    <cfRule type="cellIs" priority="4" operator="equal" aboveAverage="0" equalAverage="0" bottom="0" percent="0" rank="0" text="" dxfId="2">
      <formula>"Partially Met"</formula>
    </cfRule>
    <cfRule type="cellIs" priority="5" operator="equal" aboveAverage="0" equalAverage="0" bottom="0" percent="0" rank="0" text="" dxfId="3">
      <formula>"Not Met"</formula>
    </cfRule>
    <cfRule type="cellIs" priority="6" operator="equal" aboveAverage="0" equalAverage="0" bottom="0" percent="0" rank="0" text="" dxfId="4">
      <formula>"Not Applicable"</formula>
    </cfRule>
    <cfRule type="cellIs" priority="7" operator="equal" aboveAverage="0" equalAverage="0" bottom="0" percent="0" rank="0" text="" dxfId="5">
      <formula>"Not Assessed"</formula>
    </cfRule>
  </conditionalFormatting>
  <dataValidations count="1">
    <dataValidation allowBlank="true" errorStyle="stop" operator="between" prompt="Hover the requirement for the ASD test methodology, then choose a rating. Not Met or Partially Met (within your target level) creates an action." promptTitle="Score this test" showDropDown="false" showErrorMessage="false" showInputMessage="true" sqref="D5:D164" type="list">
      <formula1>"Met,Partially Met,Not Met,Not Applicable,Not Assessed"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156"/>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9"/>
    <col collapsed="false" customWidth="true" hidden="false" outlineLevel="0" max="3" min="3" style="0" width="22"/>
    <col collapsed="false" customWidth="true" hidden="false" outlineLevel="0" max="4" min="4" style="0" width="46"/>
    <col collapsed="false" customWidth="true" hidden="false" outlineLevel="0" max="5" min="5" style="0" width="14"/>
    <col collapsed="false" customWidth="true" hidden="false" outlineLevel="0" max="6" min="6" style="0" width="40"/>
    <col collapsed="false" customWidth="true" hidden="false" outlineLevel="0" max="7" min="7" style="0" width="11"/>
    <col collapsed="false" customWidth="true" hidden="false" outlineLevel="0" max="8" min="8" style="0" width="18"/>
    <col collapsed="false" customWidth="true" hidden="false" outlineLevel="0" max="10" min="9" style="0" width="13"/>
    <col collapsed="false" customWidth="true" hidden="false" outlineLevel="0" max="11" min="11" style="0" width="14"/>
    <col collapsed="false" customWidth="true" hidden="false" outlineLevel="0" max="12" min="12" style="0" width="39"/>
    <col collapsed="false" customWidth="true" hidden="true" outlineLevel="0" max="16" min="16" style="0" width="13"/>
  </cols>
  <sheetData>
    <row r="1" customFormat="false" ht="27.75" hidden="false" customHeight="true" outlineLevel="0" collapsed="false">
      <c r="A1" s="31" t="s">
        <v>339</v>
      </c>
      <c r="B1" s="31"/>
      <c r="C1" s="31"/>
      <c r="D1" s="31"/>
      <c r="E1" s="31"/>
      <c r="F1" s="31"/>
      <c r="G1" s="31"/>
      <c r="H1" s="31"/>
      <c r="I1" s="31"/>
      <c r="J1" s="31"/>
      <c r="K1" s="31"/>
      <c r="L1" s="31"/>
    </row>
    <row r="2" customFormat="false" ht="15.75" hidden="false" customHeight="true" outlineLevel="0" collapsed="false">
      <c r="A2" s="32" t="s">
        <v>340</v>
      </c>
      <c r="B2" s="32"/>
      <c r="C2" s="32"/>
      <c r="D2" s="32"/>
      <c r="E2" s="32"/>
      <c r="F2" s="32"/>
      <c r="G2" s="32"/>
      <c r="H2" s="32"/>
      <c r="I2" s="32"/>
      <c r="J2" s="32"/>
      <c r="K2" s="32"/>
      <c r="L2" s="32"/>
    </row>
    <row r="3" customFormat="false" ht="18" hidden="false" customHeight="true" outlineLevel="0" collapsed="false">
      <c r="A3" s="39" t="s">
        <v>341</v>
      </c>
      <c r="B3" s="39"/>
      <c r="C3" s="40" t="n">
        <f aca="false">COUNT($P$5:$P$156)</f>
        <v>0</v>
      </c>
      <c r="D3" s="41" t="s">
        <v>342</v>
      </c>
      <c r="E3" s="41"/>
      <c r="F3" s="41"/>
      <c r="G3" s="41"/>
      <c r="H3" s="41"/>
      <c r="I3" s="41"/>
      <c r="J3" s="41"/>
      <c r="K3" s="41"/>
      <c r="L3" s="41"/>
    </row>
    <row r="4" customFormat="false" ht="24" hidden="false" customHeight="true" outlineLevel="0" collapsed="false">
      <c r="A4" s="33" t="s">
        <v>343</v>
      </c>
      <c r="B4" s="33" t="s">
        <v>37</v>
      </c>
      <c r="C4" s="33" t="s">
        <v>344</v>
      </c>
      <c r="D4" s="33" t="s">
        <v>345</v>
      </c>
      <c r="E4" s="33" t="s">
        <v>346</v>
      </c>
      <c r="F4" s="33" t="s">
        <v>347</v>
      </c>
      <c r="G4" s="33" t="s">
        <v>348</v>
      </c>
      <c r="H4" s="33" t="s">
        <v>349</v>
      </c>
      <c r="I4" s="33" t="s">
        <v>350</v>
      </c>
      <c r="J4" s="33" t="s">
        <v>351</v>
      </c>
      <c r="K4" s="33" t="s">
        <v>352</v>
      </c>
      <c r="L4" s="33" t="s">
        <v>353</v>
      </c>
    </row>
    <row r="5" customFormat="false" ht="33.75" hidden="false" customHeight="true" outlineLevel="0" collapsed="false">
      <c r="A5" s="42" t="str">
        <f aca="false">IF($P5="","",INDEX(Assessment!$A:$A,$P5))</f>
        <v/>
      </c>
      <c r="B5" s="42" t="str">
        <f aca="false">IF($P5="","",INDEX(Assessment!$B:$B,$P5))</f>
        <v/>
      </c>
      <c r="C5" s="43" t="str">
        <f aca="false">IF($P5="","",INDEX(Assessment!$H:$H,$P5))</f>
        <v/>
      </c>
      <c r="D5" s="44" t="str">
        <f aca="false">IF($P5="","",INDEX(Assessment!$C:$C,$P5))</f>
        <v/>
      </c>
      <c r="E5" s="45" t="str">
        <f aca="false">IF($P5="","",INDEX(Assessment!$D:$D,$P5))</f>
        <v/>
      </c>
      <c r="F5" s="46"/>
      <c r="G5" s="47"/>
      <c r="H5" s="47"/>
      <c r="I5" s="48"/>
      <c r="J5" s="48"/>
      <c r="K5" s="47"/>
      <c r="L5" s="46"/>
      <c r="P5" s="0" t="str">
        <f aca="false">IFERROR(MATCH(1,Assessment!$J$5:$J$164,0)+4,"")</f>
        <v/>
      </c>
    </row>
    <row r="6" customFormat="false" ht="33.75" hidden="false" customHeight="true" outlineLevel="0" collapsed="false">
      <c r="A6" s="42" t="str">
        <f aca="false">IF($P6="","",INDEX(Assessment!$A:$A,$P6))</f>
        <v/>
      </c>
      <c r="B6" s="42" t="str">
        <f aca="false">IF($P6="","",INDEX(Assessment!$B:$B,$P6))</f>
        <v/>
      </c>
      <c r="C6" s="43" t="str">
        <f aca="false">IF($P6="","",INDEX(Assessment!$H:$H,$P6))</f>
        <v/>
      </c>
      <c r="D6" s="44" t="str">
        <f aca="false">IF($P6="","",INDEX(Assessment!$C:$C,$P6))</f>
        <v/>
      </c>
      <c r="E6" s="45" t="str">
        <f aca="false">IF($P6="","",INDEX(Assessment!$D:$D,$P6))</f>
        <v/>
      </c>
      <c r="F6" s="46"/>
      <c r="G6" s="47"/>
      <c r="H6" s="47"/>
      <c r="I6" s="48"/>
      <c r="J6" s="48"/>
      <c r="K6" s="47"/>
      <c r="L6" s="46"/>
      <c r="P6" s="0" t="str">
        <f aca="false">IFERROR(MATCH(2,Assessment!$J$5:$J$164,0)+4,"")</f>
        <v/>
      </c>
    </row>
    <row r="7" customFormat="false" ht="33.75" hidden="false" customHeight="true" outlineLevel="0" collapsed="false">
      <c r="A7" s="42" t="str">
        <f aca="false">IF($P7="","",INDEX(Assessment!$A:$A,$P7))</f>
        <v/>
      </c>
      <c r="B7" s="42" t="str">
        <f aca="false">IF($P7="","",INDEX(Assessment!$B:$B,$P7))</f>
        <v/>
      </c>
      <c r="C7" s="43" t="str">
        <f aca="false">IF($P7="","",INDEX(Assessment!$H:$H,$P7))</f>
        <v/>
      </c>
      <c r="D7" s="44" t="str">
        <f aca="false">IF($P7="","",INDEX(Assessment!$C:$C,$P7))</f>
        <v/>
      </c>
      <c r="E7" s="45" t="str">
        <f aca="false">IF($P7="","",INDEX(Assessment!$D:$D,$P7))</f>
        <v/>
      </c>
      <c r="F7" s="46"/>
      <c r="G7" s="47"/>
      <c r="H7" s="47"/>
      <c r="I7" s="48"/>
      <c r="J7" s="48"/>
      <c r="K7" s="47"/>
      <c r="L7" s="46"/>
      <c r="P7" s="0" t="str">
        <f aca="false">IFERROR(MATCH(3,Assessment!$J$5:$J$164,0)+4,"")</f>
        <v/>
      </c>
    </row>
    <row r="8" customFormat="false" ht="33.75" hidden="false" customHeight="true" outlineLevel="0" collapsed="false">
      <c r="A8" s="42" t="str">
        <f aca="false">IF($P8="","",INDEX(Assessment!$A:$A,$P8))</f>
        <v/>
      </c>
      <c r="B8" s="42" t="str">
        <f aca="false">IF($P8="","",INDEX(Assessment!$B:$B,$P8))</f>
        <v/>
      </c>
      <c r="C8" s="43" t="str">
        <f aca="false">IF($P8="","",INDEX(Assessment!$H:$H,$P8))</f>
        <v/>
      </c>
      <c r="D8" s="44" t="str">
        <f aca="false">IF($P8="","",INDEX(Assessment!$C:$C,$P8))</f>
        <v/>
      </c>
      <c r="E8" s="45" t="str">
        <f aca="false">IF($P8="","",INDEX(Assessment!$D:$D,$P8))</f>
        <v/>
      </c>
      <c r="F8" s="46"/>
      <c r="G8" s="47"/>
      <c r="H8" s="47"/>
      <c r="I8" s="48"/>
      <c r="J8" s="48"/>
      <c r="K8" s="47"/>
      <c r="L8" s="46"/>
      <c r="P8" s="0" t="str">
        <f aca="false">IFERROR(MATCH(4,Assessment!$J$5:$J$164,0)+4,"")</f>
        <v/>
      </c>
    </row>
    <row r="9" customFormat="false" ht="33.75" hidden="false" customHeight="true" outlineLevel="0" collapsed="false">
      <c r="A9" s="42" t="str">
        <f aca="false">IF($P9="","",INDEX(Assessment!$A:$A,$P9))</f>
        <v/>
      </c>
      <c r="B9" s="42" t="str">
        <f aca="false">IF($P9="","",INDEX(Assessment!$B:$B,$P9))</f>
        <v/>
      </c>
      <c r="C9" s="43" t="str">
        <f aca="false">IF($P9="","",INDEX(Assessment!$H:$H,$P9))</f>
        <v/>
      </c>
      <c r="D9" s="44" t="str">
        <f aca="false">IF($P9="","",INDEX(Assessment!$C:$C,$P9))</f>
        <v/>
      </c>
      <c r="E9" s="45" t="str">
        <f aca="false">IF($P9="","",INDEX(Assessment!$D:$D,$P9))</f>
        <v/>
      </c>
      <c r="F9" s="46"/>
      <c r="G9" s="47"/>
      <c r="H9" s="47"/>
      <c r="I9" s="48"/>
      <c r="J9" s="48"/>
      <c r="K9" s="47"/>
      <c r="L9" s="46"/>
      <c r="P9" s="0" t="str">
        <f aca="false">IFERROR(MATCH(5,Assessment!$J$5:$J$164,0)+4,"")</f>
        <v/>
      </c>
    </row>
    <row r="10" customFormat="false" ht="33.75" hidden="false" customHeight="true" outlineLevel="0" collapsed="false">
      <c r="A10" s="42" t="str">
        <f aca="false">IF($P10="","",INDEX(Assessment!$A:$A,$P10))</f>
        <v/>
      </c>
      <c r="B10" s="42" t="str">
        <f aca="false">IF($P10="","",INDEX(Assessment!$B:$B,$P10))</f>
        <v/>
      </c>
      <c r="C10" s="43" t="str">
        <f aca="false">IF($P10="","",INDEX(Assessment!$H:$H,$P10))</f>
        <v/>
      </c>
      <c r="D10" s="44" t="str">
        <f aca="false">IF($P10="","",INDEX(Assessment!$C:$C,$P10))</f>
        <v/>
      </c>
      <c r="E10" s="45" t="str">
        <f aca="false">IF($P10="","",INDEX(Assessment!$D:$D,$P10))</f>
        <v/>
      </c>
      <c r="F10" s="46"/>
      <c r="G10" s="47"/>
      <c r="H10" s="47"/>
      <c r="I10" s="48"/>
      <c r="J10" s="48"/>
      <c r="K10" s="47"/>
      <c r="L10" s="46"/>
      <c r="P10" s="0" t="str">
        <f aca="false">IFERROR(MATCH(6,Assessment!$J$5:$J$164,0)+4,"")</f>
        <v/>
      </c>
    </row>
    <row r="11" customFormat="false" ht="33.75" hidden="false" customHeight="true" outlineLevel="0" collapsed="false">
      <c r="A11" s="42" t="str">
        <f aca="false">IF($P11="","",INDEX(Assessment!$A:$A,$P11))</f>
        <v/>
      </c>
      <c r="B11" s="42" t="str">
        <f aca="false">IF($P11="","",INDEX(Assessment!$B:$B,$P11))</f>
        <v/>
      </c>
      <c r="C11" s="43" t="str">
        <f aca="false">IF($P11="","",INDEX(Assessment!$H:$H,$P11))</f>
        <v/>
      </c>
      <c r="D11" s="44" t="str">
        <f aca="false">IF($P11="","",INDEX(Assessment!$C:$C,$P11))</f>
        <v/>
      </c>
      <c r="E11" s="45" t="str">
        <f aca="false">IF($P11="","",INDEX(Assessment!$D:$D,$P11))</f>
        <v/>
      </c>
      <c r="F11" s="46"/>
      <c r="G11" s="47"/>
      <c r="H11" s="47"/>
      <c r="I11" s="48"/>
      <c r="J11" s="48"/>
      <c r="K11" s="47"/>
      <c r="L11" s="46"/>
      <c r="P11" s="0" t="str">
        <f aca="false">IFERROR(MATCH(7,Assessment!$J$5:$J$164,0)+4,"")</f>
        <v/>
      </c>
    </row>
    <row r="12" customFormat="false" ht="33.75" hidden="false" customHeight="true" outlineLevel="0" collapsed="false">
      <c r="A12" s="42" t="str">
        <f aca="false">IF($P12="","",INDEX(Assessment!$A:$A,$P12))</f>
        <v/>
      </c>
      <c r="B12" s="42" t="str">
        <f aca="false">IF($P12="","",INDEX(Assessment!$B:$B,$P12))</f>
        <v/>
      </c>
      <c r="C12" s="43" t="str">
        <f aca="false">IF($P12="","",INDEX(Assessment!$H:$H,$P12))</f>
        <v/>
      </c>
      <c r="D12" s="44" t="str">
        <f aca="false">IF($P12="","",INDEX(Assessment!$C:$C,$P12))</f>
        <v/>
      </c>
      <c r="E12" s="45" t="str">
        <f aca="false">IF($P12="","",INDEX(Assessment!$D:$D,$P12))</f>
        <v/>
      </c>
      <c r="F12" s="46"/>
      <c r="G12" s="47"/>
      <c r="H12" s="47"/>
      <c r="I12" s="48"/>
      <c r="J12" s="48"/>
      <c r="K12" s="47"/>
      <c r="L12" s="46"/>
      <c r="P12" s="0" t="str">
        <f aca="false">IFERROR(MATCH(8,Assessment!$J$5:$J$164,0)+4,"")</f>
        <v/>
      </c>
    </row>
    <row r="13" customFormat="false" ht="33.75" hidden="false" customHeight="true" outlineLevel="0" collapsed="false">
      <c r="A13" s="42" t="str">
        <f aca="false">IF($P13="","",INDEX(Assessment!$A:$A,$P13))</f>
        <v/>
      </c>
      <c r="B13" s="42" t="str">
        <f aca="false">IF($P13="","",INDEX(Assessment!$B:$B,$P13))</f>
        <v/>
      </c>
      <c r="C13" s="43" t="str">
        <f aca="false">IF($P13="","",INDEX(Assessment!$H:$H,$P13))</f>
        <v/>
      </c>
      <c r="D13" s="44" t="str">
        <f aca="false">IF($P13="","",INDEX(Assessment!$C:$C,$P13))</f>
        <v/>
      </c>
      <c r="E13" s="45" t="str">
        <f aca="false">IF($P13="","",INDEX(Assessment!$D:$D,$P13))</f>
        <v/>
      </c>
      <c r="F13" s="46"/>
      <c r="G13" s="47"/>
      <c r="H13" s="47"/>
      <c r="I13" s="48"/>
      <c r="J13" s="48"/>
      <c r="K13" s="47"/>
      <c r="L13" s="46"/>
      <c r="P13" s="0" t="str">
        <f aca="false">IFERROR(MATCH(9,Assessment!$J$5:$J$164,0)+4,"")</f>
        <v/>
      </c>
    </row>
    <row r="14" customFormat="false" ht="33.75" hidden="false" customHeight="true" outlineLevel="0" collapsed="false">
      <c r="A14" s="42" t="str">
        <f aca="false">IF($P14="","",INDEX(Assessment!$A:$A,$P14))</f>
        <v/>
      </c>
      <c r="B14" s="42" t="str">
        <f aca="false">IF($P14="","",INDEX(Assessment!$B:$B,$P14))</f>
        <v/>
      </c>
      <c r="C14" s="43" t="str">
        <f aca="false">IF($P14="","",INDEX(Assessment!$H:$H,$P14))</f>
        <v/>
      </c>
      <c r="D14" s="44" t="str">
        <f aca="false">IF($P14="","",INDEX(Assessment!$C:$C,$P14))</f>
        <v/>
      </c>
      <c r="E14" s="45" t="str">
        <f aca="false">IF($P14="","",INDEX(Assessment!$D:$D,$P14))</f>
        <v/>
      </c>
      <c r="F14" s="46"/>
      <c r="G14" s="47"/>
      <c r="H14" s="47"/>
      <c r="I14" s="48"/>
      <c r="J14" s="48"/>
      <c r="K14" s="47"/>
      <c r="L14" s="46"/>
      <c r="P14" s="0" t="str">
        <f aca="false">IFERROR(MATCH(10,Assessment!$J$5:$J$164,0)+4,"")</f>
        <v/>
      </c>
    </row>
    <row r="15" customFormat="false" ht="33.75" hidden="false" customHeight="true" outlineLevel="0" collapsed="false">
      <c r="A15" s="42" t="str">
        <f aca="false">IF($P15="","",INDEX(Assessment!$A:$A,$P15))</f>
        <v/>
      </c>
      <c r="B15" s="42" t="str">
        <f aca="false">IF($P15="","",INDEX(Assessment!$B:$B,$P15))</f>
        <v/>
      </c>
      <c r="C15" s="43" t="str">
        <f aca="false">IF($P15="","",INDEX(Assessment!$H:$H,$P15))</f>
        <v/>
      </c>
      <c r="D15" s="44" t="str">
        <f aca="false">IF($P15="","",INDEX(Assessment!$C:$C,$P15))</f>
        <v/>
      </c>
      <c r="E15" s="45" t="str">
        <f aca="false">IF($P15="","",INDEX(Assessment!$D:$D,$P15))</f>
        <v/>
      </c>
      <c r="F15" s="46"/>
      <c r="G15" s="47"/>
      <c r="H15" s="47"/>
      <c r="I15" s="48"/>
      <c r="J15" s="48"/>
      <c r="K15" s="47"/>
      <c r="L15" s="46"/>
      <c r="P15" s="0" t="str">
        <f aca="false">IFERROR(MATCH(11,Assessment!$J$5:$J$164,0)+4,"")</f>
        <v/>
      </c>
    </row>
    <row r="16" customFormat="false" ht="33.75" hidden="false" customHeight="true" outlineLevel="0" collapsed="false">
      <c r="A16" s="42" t="str">
        <f aca="false">IF($P16="","",INDEX(Assessment!$A:$A,$P16))</f>
        <v/>
      </c>
      <c r="B16" s="42" t="str">
        <f aca="false">IF($P16="","",INDEX(Assessment!$B:$B,$P16))</f>
        <v/>
      </c>
      <c r="C16" s="43" t="str">
        <f aca="false">IF($P16="","",INDEX(Assessment!$H:$H,$P16))</f>
        <v/>
      </c>
      <c r="D16" s="44" t="str">
        <f aca="false">IF($P16="","",INDEX(Assessment!$C:$C,$P16))</f>
        <v/>
      </c>
      <c r="E16" s="45" t="str">
        <f aca="false">IF($P16="","",INDEX(Assessment!$D:$D,$P16))</f>
        <v/>
      </c>
      <c r="F16" s="46"/>
      <c r="G16" s="47"/>
      <c r="H16" s="47"/>
      <c r="I16" s="48"/>
      <c r="J16" s="48"/>
      <c r="K16" s="47"/>
      <c r="L16" s="46"/>
      <c r="P16" s="0" t="str">
        <f aca="false">IFERROR(MATCH(12,Assessment!$J$5:$J$164,0)+4,"")</f>
        <v/>
      </c>
    </row>
    <row r="17" customFormat="false" ht="33.75" hidden="false" customHeight="true" outlineLevel="0" collapsed="false">
      <c r="A17" s="42" t="str">
        <f aca="false">IF($P17="","",INDEX(Assessment!$A:$A,$P17))</f>
        <v/>
      </c>
      <c r="B17" s="42" t="str">
        <f aca="false">IF($P17="","",INDEX(Assessment!$B:$B,$P17))</f>
        <v/>
      </c>
      <c r="C17" s="43" t="str">
        <f aca="false">IF($P17="","",INDEX(Assessment!$H:$H,$P17))</f>
        <v/>
      </c>
      <c r="D17" s="44" t="str">
        <f aca="false">IF($P17="","",INDEX(Assessment!$C:$C,$P17))</f>
        <v/>
      </c>
      <c r="E17" s="45" t="str">
        <f aca="false">IF($P17="","",INDEX(Assessment!$D:$D,$P17))</f>
        <v/>
      </c>
      <c r="F17" s="46"/>
      <c r="G17" s="47"/>
      <c r="H17" s="47"/>
      <c r="I17" s="48"/>
      <c r="J17" s="48"/>
      <c r="K17" s="47"/>
      <c r="L17" s="46"/>
      <c r="P17" s="0" t="str">
        <f aca="false">IFERROR(MATCH(13,Assessment!$J$5:$J$164,0)+4,"")</f>
        <v/>
      </c>
    </row>
    <row r="18" customFormat="false" ht="33.75" hidden="false" customHeight="true" outlineLevel="0" collapsed="false">
      <c r="A18" s="42" t="str">
        <f aca="false">IF($P18="","",INDEX(Assessment!$A:$A,$P18))</f>
        <v/>
      </c>
      <c r="B18" s="42" t="str">
        <f aca="false">IF($P18="","",INDEX(Assessment!$B:$B,$P18))</f>
        <v/>
      </c>
      <c r="C18" s="43" t="str">
        <f aca="false">IF($P18="","",INDEX(Assessment!$H:$H,$P18))</f>
        <v/>
      </c>
      <c r="D18" s="44" t="str">
        <f aca="false">IF($P18="","",INDEX(Assessment!$C:$C,$P18))</f>
        <v/>
      </c>
      <c r="E18" s="45" t="str">
        <f aca="false">IF($P18="","",INDEX(Assessment!$D:$D,$P18))</f>
        <v/>
      </c>
      <c r="F18" s="46"/>
      <c r="G18" s="47"/>
      <c r="H18" s="47"/>
      <c r="I18" s="48"/>
      <c r="J18" s="48"/>
      <c r="K18" s="47"/>
      <c r="L18" s="46"/>
      <c r="P18" s="0" t="str">
        <f aca="false">IFERROR(MATCH(14,Assessment!$J$5:$J$164,0)+4,"")</f>
        <v/>
      </c>
    </row>
    <row r="19" customFormat="false" ht="33.75" hidden="false" customHeight="true" outlineLevel="0" collapsed="false">
      <c r="A19" s="42" t="str">
        <f aca="false">IF($P19="","",INDEX(Assessment!$A:$A,$P19))</f>
        <v/>
      </c>
      <c r="B19" s="42" t="str">
        <f aca="false">IF($P19="","",INDEX(Assessment!$B:$B,$P19))</f>
        <v/>
      </c>
      <c r="C19" s="43" t="str">
        <f aca="false">IF($P19="","",INDEX(Assessment!$H:$H,$P19))</f>
        <v/>
      </c>
      <c r="D19" s="44" t="str">
        <f aca="false">IF($P19="","",INDEX(Assessment!$C:$C,$P19))</f>
        <v/>
      </c>
      <c r="E19" s="45" t="str">
        <f aca="false">IF($P19="","",INDEX(Assessment!$D:$D,$P19))</f>
        <v/>
      </c>
      <c r="F19" s="46"/>
      <c r="G19" s="47"/>
      <c r="H19" s="47"/>
      <c r="I19" s="48"/>
      <c r="J19" s="48"/>
      <c r="K19" s="47"/>
      <c r="L19" s="46"/>
      <c r="P19" s="0" t="str">
        <f aca="false">IFERROR(MATCH(15,Assessment!$J$5:$J$164,0)+4,"")</f>
        <v/>
      </c>
    </row>
    <row r="20" customFormat="false" ht="33.75" hidden="false" customHeight="true" outlineLevel="0" collapsed="false">
      <c r="A20" s="42" t="str">
        <f aca="false">IF($P20="","",INDEX(Assessment!$A:$A,$P20))</f>
        <v/>
      </c>
      <c r="B20" s="42" t="str">
        <f aca="false">IF($P20="","",INDEX(Assessment!$B:$B,$P20))</f>
        <v/>
      </c>
      <c r="C20" s="43" t="str">
        <f aca="false">IF($P20="","",INDEX(Assessment!$H:$H,$P20))</f>
        <v/>
      </c>
      <c r="D20" s="44" t="str">
        <f aca="false">IF($P20="","",INDEX(Assessment!$C:$C,$P20))</f>
        <v/>
      </c>
      <c r="E20" s="45" t="str">
        <f aca="false">IF($P20="","",INDEX(Assessment!$D:$D,$P20))</f>
        <v/>
      </c>
      <c r="F20" s="46"/>
      <c r="G20" s="47"/>
      <c r="H20" s="47"/>
      <c r="I20" s="48"/>
      <c r="J20" s="48"/>
      <c r="K20" s="47"/>
      <c r="L20" s="46"/>
      <c r="P20" s="0" t="str">
        <f aca="false">IFERROR(MATCH(16,Assessment!$J$5:$J$164,0)+4,"")</f>
        <v/>
      </c>
    </row>
    <row r="21" customFormat="false" ht="33.75" hidden="false" customHeight="true" outlineLevel="0" collapsed="false">
      <c r="A21" s="42" t="str">
        <f aca="false">IF($P21="","",INDEX(Assessment!$A:$A,$P21))</f>
        <v/>
      </c>
      <c r="B21" s="42" t="str">
        <f aca="false">IF($P21="","",INDEX(Assessment!$B:$B,$P21))</f>
        <v/>
      </c>
      <c r="C21" s="43" t="str">
        <f aca="false">IF($P21="","",INDEX(Assessment!$H:$H,$P21))</f>
        <v/>
      </c>
      <c r="D21" s="44" t="str">
        <f aca="false">IF($P21="","",INDEX(Assessment!$C:$C,$P21))</f>
        <v/>
      </c>
      <c r="E21" s="45" t="str">
        <f aca="false">IF($P21="","",INDEX(Assessment!$D:$D,$P21))</f>
        <v/>
      </c>
      <c r="F21" s="46"/>
      <c r="G21" s="47"/>
      <c r="H21" s="47"/>
      <c r="I21" s="48"/>
      <c r="J21" s="48"/>
      <c r="K21" s="47"/>
      <c r="L21" s="46"/>
      <c r="P21" s="0" t="str">
        <f aca="false">IFERROR(MATCH(17,Assessment!$J$5:$J$164,0)+4,"")</f>
        <v/>
      </c>
    </row>
    <row r="22" customFormat="false" ht="33.75" hidden="false" customHeight="true" outlineLevel="0" collapsed="false">
      <c r="A22" s="42" t="str">
        <f aca="false">IF($P22="","",INDEX(Assessment!$A:$A,$P22))</f>
        <v/>
      </c>
      <c r="B22" s="42" t="str">
        <f aca="false">IF($P22="","",INDEX(Assessment!$B:$B,$P22))</f>
        <v/>
      </c>
      <c r="C22" s="43" t="str">
        <f aca="false">IF($P22="","",INDEX(Assessment!$H:$H,$P22))</f>
        <v/>
      </c>
      <c r="D22" s="44" t="str">
        <f aca="false">IF($P22="","",INDEX(Assessment!$C:$C,$P22))</f>
        <v/>
      </c>
      <c r="E22" s="45" t="str">
        <f aca="false">IF($P22="","",INDEX(Assessment!$D:$D,$P22))</f>
        <v/>
      </c>
      <c r="F22" s="46"/>
      <c r="G22" s="47"/>
      <c r="H22" s="47"/>
      <c r="I22" s="48"/>
      <c r="J22" s="48"/>
      <c r="K22" s="47"/>
      <c r="L22" s="46"/>
      <c r="P22" s="0" t="str">
        <f aca="false">IFERROR(MATCH(18,Assessment!$J$5:$J$164,0)+4,"")</f>
        <v/>
      </c>
    </row>
    <row r="23" customFormat="false" ht="33.75" hidden="false" customHeight="true" outlineLevel="0" collapsed="false">
      <c r="A23" s="42" t="str">
        <f aca="false">IF($P23="","",INDEX(Assessment!$A:$A,$P23))</f>
        <v/>
      </c>
      <c r="B23" s="42" t="str">
        <f aca="false">IF($P23="","",INDEX(Assessment!$B:$B,$P23))</f>
        <v/>
      </c>
      <c r="C23" s="43" t="str">
        <f aca="false">IF($P23="","",INDEX(Assessment!$H:$H,$P23))</f>
        <v/>
      </c>
      <c r="D23" s="44" t="str">
        <f aca="false">IF($P23="","",INDEX(Assessment!$C:$C,$P23))</f>
        <v/>
      </c>
      <c r="E23" s="45" t="str">
        <f aca="false">IF($P23="","",INDEX(Assessment!$D:$D,$P23))</f>
        <v/>
      </c>
      <c r="F23" s="46"/>
      <c r="G23" s="47"/>
      <c r="H23" s="47"/>
      <c r="I23" s="48"/>
      <c r="J23" s="48"/>
      <c r="K23" s="47"/>
      <c r="L23" s="46"/>
      <c r="P23" s="0" t="str">
        <f aca="false">IFERROR(MATCH(19,Assessment!$J$5:$J$164,0)+4,"")</f>
        <v/>
      </c>
    </row>
    <row r="24" customFormat="false" ht="33.75" hidden="false" customHeight="true" outlineLevel="0" collapsed="false">
      <c r="A24" s="42" t="str">
        <f aca="false">IF($P24="","",INDEX(Assessment!$A:$A,$P24))</f>
        <v/>
      </c>
      <c r="B24" s="42" t="str">
        <f aca="false">IF($P24="","",INDEX(Assessment!$B:$B,$P24))</f>
        <v/>
      </c>
      <c r="C24" s="43" t="str">
        <f aca="false">IF($P24="","",INDEX(Assessment!$H:$H,$P24))</f>
        <v/>
      </c>
      <c r="D24" s="44" t="str">
        <f aca="false">IF($P24="","",INDEX(Assessment!$C:$C,$P24))</f>
        <v/>
      </c>
      <c r="E24" s="45" t="str">
        <f aca="false">IF($P24="","",INDEX(Assessment!$D:$D,$P24))</f>
        <v/>
      </c>
      <c r="F24" s="46"/>
      <c r="G24" s="47"/>
      <c r="H24" s="47"/>
      <c r="I24" s="48"/>
      <c r="J24" s="48"/>
      <c r="K24" s="47"/>
      <c r="L24" s="46"/>
      <c r="P24" s="0" t="str">
        <f aca="false">IFERROR(MATCH(20,Assessment!$J$5:$J$164,0)+4,"")</f>
        <v/>
      </c>
    </row>
    <row r="25" customFormat="false" ht="33.75" hidden="false" customHeight="true" outlineLevel="0" collapsed="false">
      <c r="A25" s="42" t="str">
        <f aca="false">IF($P25="","",INDEX(Assessment!$A:$A,$P25))</f>
        <v/>
      </c>
      <c r="B25" s="42" t="str">
        <f aca="false">IF($P25="","",INDEX(Assessment!$B:$B,$P25))</f>
        <v/>
      </c>
      <c r="C25" s="43" t="str">
        <f aca="false">IF($P25="","",INDEX(Assessment!$H:$H,$P25))</f>
        <v/>
      </c>
      <c r="D25" s="44" t="str">
        <f aca="false">IF($P25="","",INDEX(Assessment!$C:$C,$P25))</f>
        <v/>
      </c>
      <c r="E25" s="45" t="str">
        <f aca="false">IF($P25="","",INDEX(Assessment!$D:$D,$P25))</f>
        <v/>
      </c>
      <c r="F25" s="46"/>
      <c r="G25" s="47"/>
      <c r="H25" s="47"/>
      <c r="I25" s="48"/>
      <c r="J25" s="48"/>
      <c r="K25" s="47"/>
      <c r="L25" s="46"/>
      <c r="P25" s="0" t="str">
        <f aca="false">IFERROR(MATCH(21,Assessment!$J$5:$J$164,0)+4,"")</f>
        <v/>
      </c>
    </row>
    <row r="26" customFormat="false" ht="33.75" hidden="false" customHeight="true" outlineLevel="0" collapsed="false">
      <c r="A26" s="42" t="str">
        <f aca="false">IF($P26="","",INDEX(Assessment!$A:$A,$P26))</f>
        <v/>
      </c>
      <c r="B26" s="42" t="str">
        <f aca="false">IF($P26="","",INDEX(Assessment!$B:$B,$P26))</f>
        <v/>
      </c>
      <c r="C26" s="43" t="str">
        <f aca="false">IF($P26="","",INDEX(Assessment!$H:$H,$P26))</f>
        <v/>
      </c>
      <c r="D26" s="44" t="str">
        <f aca="false">IF($P26="","",INDEX(Assessment!$C:$C,$P26))</f>
        <v/>
      </c>
      <c r="E26" s="45" t="str">
        <f aca="false">IF($P26="","",INDEX(Assessment!$D:$D,$P26))</f>
        <v/>
      </c>
      <c r="F26" s="46"/>
      <c r="G26" s="47"/>
      <c r="H26" s="47"/>
      <c r="I26" s="48"/>
      <c r="J26" s="48"/>
      <c r="K26" s="47"/>
      <c r="L26" s="46"/>
      <c r="P26" s="0" t="str">
        <f aca="false">IFERROR(MATCH(22,Assessment!$J$5:$J$164,0)+4,"")</f>
        <v/>
      </c>
    </row>
    <row r="27" customFormat="false" ht="33.75" hidden="false" customHeight="true" outlineLevel="0" collapsed="false">
      <c r="A27" s="42" t="str">
        <f aca="false">IF($P27="","",INDEX(Assessment!$A:$A,$P27))</f>
        <v/>
      </c>
      <c r="B27" s="42" t="str">
        <f aca="false">IF($P27="","",INDEX(Assessment!$B:$B,$P27))</f>
        <v/>
      </c>
      <c r="C27" s="43" t="str">
        <f aca="false">IF($P27="","",INDEX(Assessment!$H:$H,$P27))</f>
        <v/>
      </c>
      <c r="D27" s="44" t="str">
        <f aca="false">IF($P27="","",INDEX(Assessment!$C:$C,$P27))</f>
        <v/>
      </c>
      <c r="E27" s="45" t="str">
        <f aca="false">IF($P27="","",INDEX(Assessment!$D:$D,$P27))</f>
        <v/>
      </c>
      <c r="F27" s="46"/>
      <c r="G27" s="47"/>
      <c r="H27" s="47"/>
      <c r="I27" s="48"/>
      <c r="J27" s="48"/>
      <c r="K27" s="47"/>
      <c r="L27" s="46"/>
      <c r="P27" s="0" t="str">
        <f aca="false">IFERROR(MATCH(23,Assessment!$J$5:$J$164,0)+4,"")</f>
        <v/>
      </c>
    </row>
    <row r="28" customFormat="false" ht="33.75" hidden="false" customHeight="true" outlineLevel="0" collapsed="false">
      <c r="A28" s="42" t="str">
        <f aca="false">IF($P28="","",INDEX(Assessment!$A:$A,$P28))</f>
        <v/>
      </c>
      <c r="B28" s="42" t="str">
        <f aca="false">IF($P28="","",INDEX(Assessment!$B:$B,$P28))</f>
        <v/>
      </c>
      <c r="C28" s="43" t="str">
        <f aca="false">IF($P28="","",INDEX(Assessment!$H:$H,$P28))</f>
        <v/>
      </c>
      <c r="D28" s="44" t="str">
        <f aca="false">IF($P28="","",INDEX(Assessment!$C:$C,$P28))</f>
        <v/>
      </c>
      <c r="E28" s="45" t="str">
        <f aca="false">IF($P28="","",INDEX(Assessment!$D:$D,$P28))</f>
        <v/>
      </c>
      <c r="F28" s="46"/>
      <c r="G28" s="47"/>
      <c r="H28" s="47"/>
      <c r="I28" s="48"/>
      <c r="J28" s="48"/>
      <c r="K28" s="47"/>
      <c r="L28" s="46"/>
      <c r="P28" s="0" t="str">
        <f aca="false">IFERROR(MATCH(24,Assessment!$J$5:$J$164,0)+4,"")</f>
        <v/>
      </c>
    </row>
    <row r="29" customFormat="false" ht="33.75" hidden="false" customHeight="true" outlineLevel="0" collapsed="false">
      <c r="A29" s="42" t="str">
        <f aca="false">IF($P29="","",INDEX(Assessment!$A:$A,$P29))</f>
        <v/>
      </c>
      <c r="B29" s="42" t="str">
        <f aca="false">IF($P29="","",INDEX(Assessment!$B:$B,$P29))</f>
        <v/>
      </c>
      <c r="C29" s="43" t="str">
        <f aca="false">IF($P29="","",INDEX(Assessment!$H:$H,$P29))</f>
        <v/>
      </c>
      <c r="D29" s="44" t="str">
        <f aca="false">IF($P29="","",INDEX(Assessment!$C:$C,$P29))</f>
        <v/>
      </c>
      <c r="E29" s="45" t="str">
        <f aca="false">IF($P29="","",INDEX(Assessment!$D:$D,$P29))</f>
        <v/>
      </c>
      <c r="F29" s="46"/>
      <c r="G29" s="47"/>
      <c r="H29" s="47"/>
      <c r="I29" s="48"/>
      <c r="J29" s="48"/>
      <c r="K29" s="47"/>
      <c r="L29" s="46"/>
      <c r="P29" s="0" t="str">
        <f aca="false">IFERROR(MATCH(25,Assessment!$J$5:$J$164,0)+4,"")</f>
        <v/>
      </c>
    </row>
    <row r="30" customFormat="false" ht="33.75" hidden="false" customHeight="true" outlineLevel="0" collapsed="false">
      <c r="A30" s="42" t="str">
        <f aca="false">IF($P30="","",INDEX(Assessment!$A:$A,$P30))</f>
        <v/>
      </c>
      <c r="B30" s="42" t="str">
        <f aca="false">IF($P30="","",INDEX(Assessment!$B:$B,$P30))</f>
        <v/>
      </c>
      <c r="C30" s="43" t="str">
        <f aca="false">IF($P30="","",INDEX(Assessment!$H:$H,$P30))</f>
        <v/>
      </c>
      <c r="D30" s="44" t="str">
        <f aca="false">IF($P30="","",INDEX(Assessment!$C:$C,$P30))</f>
        <v/>
      </c>
      <c r="E30" s="45" t="str">
        <f aca="false">IF($P30="","",INDEX(Assessment!$D:$D,$P30))</f>
        <v/>
      </c>
      <c r="F30" s="46"/>
      <c r="G30" s="47"/>
      <c r="H30" s="47"/>
      <c r="I30" s="48"/>
      <c r="J30" s="48"/>
      <c r="K30" s="47"/>
      <c r="L30" s="46"/>
      <c r="P30" s="0" t="str">
        <f aca="false">IFERROR(MATCH(26,Assessment!$J$5:$J$164,0)+4,"")</f>
        <v/>
      </c>
    </row>
    <row r="31" customFormat="false" ht="33.75" hidden="false" customHeight="true" outlineLevel="0" collapsed="false">
      <c r="A31" s="42" t="str">
        <f aca="false">IF($P31="","",INDEX(Assessment!$A:$A,$P31))</f>
        <v/>
      </c>
      <c r="B31" s="42" t="str">
        <f aca="false">IF($P31="","",INDEX(Assessment!$B:$B,$P31))</f>
        <v/>
      </c>
      <c r="C31" s="43" t="str">
        <f aca="false">IF($P31="","",INDEX(Assessment!$H:$H,$P31))</f>
        <v/>
      </c>
      <c r="D31" s="44" t="str">
        <f aca="false">IF($P31="","",INDEX(Assessment!$C:$C,$P31))</f>
        <v/>
      </c>
      <c r="E31" s="45" t="str">
        <f aca="false">IF($P31="","",INDEX(Assessment!$D:$D,$P31))</f>
        <v/>
      </c>
      <c r="F31" s="46"/>
      <c r="G31" s="47"/>
      <c r="H31" s="47"/>
      <c r="I31" s="48"/>
      <c r="J31" s="48"/>
      <c r="K31" s="47"/>
      <c r="L31" s="46"/>
      <c r="P31" s="0" t="str">
        <f aca="false">IFERROR(MATCH(27,Assessment!$J$5:$J$164,0)+4,"")</f>
        <v/>
      </c>
    </row>
    <row r="32" customFormat="false" ht="33.75" hidden="false" customHeight="true" outlineLevel="0" collapsed="false">
      <c r="A32" s="42" t="str">
        <f aca="false">IF($P32="","",INDEX(Assessment!$A:$A,$P32))</f>
        <v/>
      </c>
      <c r="B32" s="42" t="str">
        <f aca="false">IF($P32="","",INDEX(Assessment!$B:$B,$P32))</f>
        <v/>
      </c>
      <c r="C32" s="43" t="str">
        <f aca="false">IF($P32="","",INDEX(Assessment!$H:$H,$P32))</f>
        <v/>
      </c>
      <c r="D32" s="44" t="str">
        <f aca="false">IF($P32="","",INDEX(Assessment!$C:$C,$P32))</f>
        <v/>
      </c>
      <c r="E32" s="45" t="str">
        <f aca="false">IF($P32="","",INDEX(Assessment!$D:$D,$P32))</f>
        <v/>
      </c>
      <c r="F32" s="46"/>
      <c r="G32" s="47"/>
      <c r="H32" s="47"/>
      <c r="I32" s="48"/>
      <c r="J32" s="48"/>
      <c r="K32" s="47"/>
      <c r="L32" s="46"/>
      <c r="P32" s="0" t="str">
        <f aca="false">IFERROR(MATCH(28,Assessment!$J$5:$J$164,0)+4,"")</f>
        <v/>
      </c>
    </row>
    <row r="33" customFormat="false" ht="33.75" hidden="false" customHeight="true" outlineLevel="0" collapsed="false">
      <c r="A33" s="42" t="str">
        <f aca="false">IF($P33="","",INDEX(Assessment!$A:$A,$P33))</f>
        <v/>
      </c>
      <c r="B33" s="42" t="str">
        <f aca="false">IF($P33="","",INDEX(Assessment!$B:$B,$P33))</f>
        <v/>
      </c>
      <c r="C33" s="43" t="str">
        <f aca="false">IF($P33="","",INDEX(Assessment!$H:$H,$P33))</f>
        <v/>
      </c>
      <c r="D33" s="44" t="str">
        <f aca="false">IF($P33="","",INDEX(Assessment!$C:$C,$P33))</f>
        <v/>
      </c>
      <c r="E33" s="45" t="str">
        <f aca="false">IF($P33="","",INDEX(Assessment!$D:$D,$P33))</f>
        <v/>
      </c>
      <c r="F33" s="46"/>
      <c r="G33" s="47"/>
      <c r="H33" s="47"/>
      <c r="I33" s="48"/>
      <c r="J33" s="48"/>
      <c r="K33" s="47"/>
      <c r="L33" s="46"/>
      <c r="P33" s="0" t="str">
        <f aca="false">IFERROR(MATCH(29,Assessment!$J$5:$J$164,0)+4,"")</f>
        <v/>
      </c>
    </row>
    <row r="34" customFormat="false" ht="33.75" hidden="false" customHeight="true" outlineLevel="0" collapsed="false">
      <c r="A34" s="42" t="str">
        <f aca="false">IF($P34="","",INDEX(Assessment!$A:$A,$P34))</f>
        <v/>
      </c>
      <c r="B34" s="42" t="str">
        <f aca="false">IF($P34="","",INDEX(Assessment!$B:$B,$P34))</f>
        <v/>
      </c>
      <c r="C34" s="43" t="str">
        <f aca="false">IF($P34="","",INDEX(Assessment!$H:$H,$P34))</f>
        <v/>
      </c>
      <c r="D34" s="44" t="str">
        <f aca="false">IF($P34="","",INDEX(Assessment!$C:$C,$P34))</f>
        <v/>
      </c>
      <c r="E34" s="45" t="str">
        <f aca="false">IF($P34="","",INDEX(Assessment!$D:$D,$P34))</f>
        <v/>
      </c>
      <c r="F34" s="46"/>
      <c r="G34" s="47"/>
      <c r="H34" s="47"/>
      <c r="I34" s="48"/>
      <c r="J34" s="48"/>
      <c r="K34" s="47"/>
      <c r="L34" s="46"/>
      <c r="P34" s="0" t="str">
        <f aca="false">IFERROR(MATCH(30,Assessment!$J$5:$J$164,0)+4,"")</f>
        <v/>
      </c>
    </row>
    <row r="35" customFormat="false" ht="33.75" hidden="false" customHeight="true" outlineLevel="0" collapsed="false">
      <c r="A35" s="42" t="str">
        <f aca="false">IF($P35="","",INDEX(Assessment!$A:$A,$P35))</f>
        <v/>
      </c>
      <c r="B35" s="42" t="str">
        <f aca="false">IF($P35="","",INDEX(Assessment!$B:$B,$P35))</f>
        <v/>
      </c>
      <c r="C35" s="43" t="str">
        <f aca="false">IF($P35="","",INDEX(Assessment!$H:$H,$P35))</f>
        <v/>
      </c>
      <c r="D35" s="44" t="str">
        <f aca="false">IF($P35="","",INDEX(Assessment!$C:$C,$P35))</f>
        <v/>
      </c>
      <c r="E35" s="45" t="str">
        <f aca="false">IF($P35="","",INDEX(Assessment!$D:$D,$P35))</f>
        <v/>
      </c>
      <c r="F35" s="46"/>
      <c r="G35" s="47"/>
      <c r="H35" s="47"/>
      <c r="I35" s="48"/>
      <c r="J35" s="48"/>
      <c r="K35" s="47"/>
      <c r="L35" s="46"/>
      <c r="P35" s="0" t="str">
        <f aca="false">IFERROR(MATCH(31,Assessment!$J$5:$J$164,0)+4,"")</f>
        <v/>
      </c>
    </row>
    <row r="36" customFormat="false" ht="33.75" hidden="false" customHeight="true" outlineLevel="0" collapsed="false">
      <c r="A36" s="42" t="str">
        <f aca="false">IF($P36="","",INDEX(Assessment!$A:$A,$P36))</f>
        <v/>
      </c>
      <c r="B36" s="42" t="str">
        <f aca="false">IF($P36="","",INDEX(Assessment!$B:$B,$P36))</f>
        <v/>
      </c>
      <c r="C36" s="43" t="str">
        <f aca="false">IF($P36="","",INDEX(Assessment!$H:$H,$P36))</f>
        <v/>
      </c>
      <c r="D36" s="44" t="str">
        <f aca="false">IF($P36="","",INDEX(Assessment!$C:$C,$P36))</f>
        <v/>
      </c>
      <c r="E36" s="45" t="str">
        <f aca="false">IF($P36="","",INDEX(Assessment!$D:$D,$P36))</f>
        <v/>
      </c>
      <c r="F36" s="46"/>
      <c r="G36" s="47"/>
      <c r="H36" s="47"/>
      <c r="I36" s="48"/>
      <c r="J36" s="48"/>
      <c r="K36" s="47"/>
      <c r="L36" s="46"/>
      <c r="P36" s="0" t="str">
        <f aca="false">IFERROR(MATCH(32,Assessment!$J$5:$J$164,0)+4,"")</f>
        <v/>
      </c>
    </row>
    <row r="37" customFormat="false" ht="33.75" hidden="false" customHeight="true" outlineLevel="0" collapsed="false">
      <c r="A37" s="42" t="str">
        <f aca="false">IF($P37="","",INDEX(Assessment!$A:$A,$P37))</f>
        <v/>
      </c>
      <c r="B37" s="42" t="str">
        <f aca="false">IF($P37="","",INDEX(Assessment!$B:$B,$P37))</f>
        <v/>
      </c>
      <c r="C37" s="43" t="str">
        <f aca="false">IF($P37="","",INDEX(Assessment!$H:$H,$P37))</f>
        <v/>
      </c>
      <c r="D37" s="44" t="str">
        <f aca="false">IF($P37="","",INDEX(Assessment!$C:$C,$P37))</f>
        <v/>
      </c>
      <c r="E37" s="45" t="str">
        <f aca="false">IF($P37="","",INDEX(Assessment!$D:$D,$P37))</f>
        <v/>
      </c>
      <c r="F37" s="46"/>
      <c r="G37" s="47"/>
      <c r="H37" s="47"/>
      <c r="I37" s="48"/>
      <c r="J37" s="48"/>
      <c r="K37" s="47"/>
      <c r="L37" s="46"/>
      <c r="P37" s="0" t="str">
        <f aca="false">IFERROR(MATCH(33,Assessment!$J$5:$J$164,0)+4,"")</f>
        <v/>
      </c>
    </row>
    <row r="38" customFormat="false" ht="33.75" hidden="false" customHeight="true" outlineLevel="0" collapsed="false">
      <c r="A38" s="42" t="str">
        <f aca="false">IF($P38="","",INDEX(Assessment!$A:$A,$P38))</f>
        <v/>
      </c>
      <c r="B38" s="42" t="str">
        <f aca="false">IF($P38="","",INDEX(Assessment!$B:$B,$P38))</f>
        <v/>
      </c>
      <c r="C38" s="43" t="str">
        <f aca="false">IF($P38="","",INDEX(Assessment!$H:$H,$P38))</f>
        <v/>
      </c>
      <c r="D38" s="44" t="str">
        <f aca="false">IF($P38="","",INDEX(Assessment!$C:$C,$P38))</f>
        <v/>
      </c>
      <c r="E38" s="45" t="str">
        <f aca="false">IF($P38="","",INDEX(Assessment!$D:$D,$P38))</f>
        <v/>
      </c>
      <c r="F38" s="46"/>
      <c r="G38" s="47"/>
      <c r="H38" s="47"/>
      <c r="I38" s="48"/>
      <c r="J38" s="48"/>
      <c r="K38" s="47"/>
      <c r="L38" s="46"/>
      <c r="P38" s="0" t="str">
        <f aca="false">IFERROR(MATCH(34,Assessment!$J$5:$J$164,0)+4,"")</f>
        <v/>
      </c>
    </row>
    <row r="39" customFormat="false" ht="33.75" hidden="false" customHeight="true" outlineLevel="0" collapsed="false">
      <c r="A39" s="42" t="str">
        <f aca="false">IF($P39="","",INDEX(Assessment!$A:$A,$P39))</f>
        <v/>
      </c>
      <c r="B39" s="42" t="str">
        <f aca="false">IF($P39="","",INDEX(Assessment!$B:$B,$P39))</f>
        <v/>
      </c>
      <c r="C39" s="43" t="str">
        <f aca="false">IF($P39="","",INDEX(Assessment!$H:$H,$P39))</f>
        <v/>
      </c>
      <c r="D39" s="44" t="str">
        <f aca="false">IF($P39="","",INDEX(Assessment!$C:$C,$P39))</f>
        <v/>
      </c>
      <c r="E39" s="45" t="str">
        <f aca="false">IF($P39="","",INDEX(Assessment!$D:$D,$P39))</f>
        <v/>
      </c>
      <c r="F39" s="46"/>
      <c r="G39" s="47"/>
      <c r="H39" s="47"/>
      <c r="I39" s="48"/>
      <c r="J39" s="48"/>
      <c r="K39" s="47"/>
      <c r="L39" s="46"/>
      <c r="P39" s="0" t="str">
        <f aca="false">IFERROR(MATCH(35,Assessment!$J$5:$J$164,0)+4,"")</f>
        <v/>
      </c>
    </row>
    <row r="40" customFormat="false" ht="33.75" hidden="false" customHeight="true" outlineLevel="0" collapsed="false">
      <c r="A40" s="42" t="str">
        <f aca="false">IF($P40="","",INDEX(Assessment!$A:$A,$P40))</f>
        <v/>
      </c>
      <c r="B40" s="42" t="str">
        <f aca="false">IF($P40="","",INDEX(Assessment!$B:$B,$P40))</f>
        <v/>
      </c>
      <c r="C40" s="43" t="str">
        <f aca="false">IF($P40="","",INDEX(Assessment!$H:$H,$P40))</f>
        <v/>
      </c>
      <c r="D40" s="44" t="str">
        <f aca="false">IF($P40="","",INDEX(Assessment!$C:$C,$P40))</f>
        <v/>
      </c>
      <c r="E40" s="45" t="str">
        <f aca="false">IF($P40="","",INDEX(Assessment!$D:$D,$P40))</f>
        <v/>
      </c>
      <c r="F40" s="46"/>
      <c r="G40" s="47"/>
      <c r="H40" s="47"/>
      <c r="I40" s="48"/>
      <c r="J40" s="48"/>
      <c r="K40" s="47"/>
      <c r="L40" s="46"/>
      <c r="P40" s="0" t="str">
        <f aca="false">IFERROR(MATCH(36,Assessment!$J$5:$J$164,0)+4,"")</f>
        <v/>
      </c>
    </row>
    <row r="41" customFormat="false" ht="33.75" hidden="false" customHeight="true" outlineLevel="0" collapsed="false">
      <c r="A41" s="42" t="str">
        <f aca="false">IF($P41="","",INDEX(Assessment!$A:$A,$P41))</f>
        <v/>
      </c>
      <c r="B41" s="42" t="str">
        <f aca="false">IF($P41="","",INDEX(Assessment!$B:$B,$P41))</f>
        <v/>
      </c>
      <c r="C41" s="43" t="str">
        <f aca="false">IF($P41="","",INDEX(Assessment!$H:$H,$P41))</f>
        <v/>
      </c>
      <c r="D41" s="44" t="str">
        <f aca="false">IF($P41="","",INDEX(Assessment!$C:$C,$P41))</f>
        <v/>
      </c>
      <c r="E41" s="45" t="str">
        <f aca="false">IF($P41="","",INDEX(Assessment!$D:$D,$P41))</f>
        <v/>
      </c>
      <c r="F41" s="46"/>
      <c r="G41" s="47"/>
      <c r="H41" s="47"/>
      <c r="I41" s="48"/>
      <c r="J41" s="48"/>
      <c r="K41" s="47"/>
      <c r="L41" s="46"/>
      <c r="P41" s="0" t="str">
        <f aca="false">IFERROR(MATCH(37,Assessment!$J$5:$J$164,0)+4,"")</f>
        <v/>
      </c>
    </row>
    <row r="42" customFormat="false" ht="33.75" hidden="false" customHeight="true" outlineLevel="0" collapsed="false">
      <c r="A42" s="42" t="str">
        <f aca="false">IF($P42="","",INDEX(Assessment!$A:$A,$P42))</f>
        <v/>
      </c>
      <c r="B42" s="42" t="str">
        <f aca="false">IF($P42="","",INDEX(Assessment!$B:$B,$P42))</f>
        <v/>
      </c>
      <c r="C42" s="43" t="str">
        <f aca="false">IF($P42="","",INDEX(Assessment!$H:$H,$P42))</f>
        <v/>
      </c>
      <c r="D42" s="44" t="str">
        <f aca="false">IF($P42="","",INDEX(Assessment!$C:$C,$P42))</f>
        <v/>
      </c>
      <c r="E42" s="45" t="str">
        <f aca="false">IF($P42="","",INDEX(Assessment!$D:$D,$P42))</f>
        <v/>
      </c>
      <c r="F42" s="46"/>
      <c r="G42" s="47"/>
      <c r="H42" s="47"/>
      <c r="I42" s="48"/>
      <c r="J42" s="48"/>
      <c r="K42" s="47"/>
      <c r="L42" s="46"/>
      <c r="P42" s="0" t="str">
        <f aca="false">IFERROR(MATCH(38,Assessment!$J$5:$J$164,0)+4,"")</f>
        <v/>
      </c>
    </row>
    <row r="43" customFormat="false" ht="33.75" hidden="false" customHeight="true" outlineLevel="0" collapsed="false">
      <c r="A43" s="42" t="str">
        <f aca="false">IF($P43="","",INDEX(Assessment!$A:$A,$P43))</f>
        <v/>
      </c>
      <c r="B43" s="42" t="str">
        <f aca="false">IF($P43="","",INDEX(Assessment!$B:$B,$P43))</f>
        <v/>
      </c>
      <c r="C43" s="43" t="str">
        <f aca="false">IF($P43="","",INDEX(Assessment!$H:$H,$P43))</f>
        <v/>
      </c>
      <c r="D43" s="44" t="str">
        <f aca="false">IF($P43="","",INDEX(Assessment!$C:$C,$P43))</f>
        <v/>
      </c>
      <c r="E43" s="45" t="str">
        <f aca="false">IF($P43="","",INDEX(Assessment!$D:$D,$P43))</f>
        <v/>
      </c>
      <c r="F43" s="46"/>
      <c r="G43" s="47"/>
      <c r="H43" s="47"/>
      <c r="I43" s="48"/>
      <c r="J43" s="48"/>
      <c r="K43" s="47"/>
      <c r="L43" s="46"/>
      <c r="P43" s="0" t="str">
        <f aca="false">IFERROR(MATCH(39,Assessment!$J$5:$J$164,0)+4,"")</f>
        <v/>
      </c>
    </row>
    <row r="44" customFormat="false" ht="33.75" hidden="false" customHeight="true" outlineLevel="0" collapsed="false">
      <c r="A44" s="42" t="str">
        <f aca="false">IF($P44="","",INDEX(Assessment!$A:$A,$P44))</f>
        <v/>
      </c>
      <c r="B44" s="42" t="str">
        <f aca="false">IF($P44="","",INDEX(Assessment!$B:$B,$P44))</f>
        <v/>
      </c>
      <c r="C44" s="43" t="str">
        <f aca="false">IF($P44="","",INDEX(Assessment!$H:$H,$P44))</f>
        <v/>
      </c>
      <c r="D44" s="44" t="str">
        <f aca="false">IF($P44="","",INDEX(Assessment!$C:$C,$P44))</f>
        <v/>
      </c>
      <c r="E44" s="45" t="str">
        <f aca="false">IF($P44="","",INDEX(Assessment!$D:$D,$P44))</f>
        <v/>
      </c>
      <c r="F44" s="46"/>
      <c r="G44" s="47"/>
      <c r="H44" s="47"/>
      <c r="I44" s="48"/>
      <c r="J44" s="48"/>
      <c r="K44" s="47"/>
      <c r="L44" s="46"/>
      <c r="P44" s="0" t="str">
        <f aca="false">IFERROR(MATCH(40,Assessment!$J$5:$J$164,0)+4,"")</f>
        <v/>
      </c>
    </row>
    <row r="45" customFormat="false" ht="33.75" hidden="false" customHeight="true" outlineLevel="0" collapsed="false">
      <c r="A45" s="42" t="str">
        <f aca="false">IF($P45="","",INDEX(Assessment!$A:$A,$P45))</f>
        <v/>
      </c>
      <c r="B45" s="42" t="str">
        <f aca="false">IF($P45="","",INDEX(Assessment!$B:$B,$P45))</f>
        <v/>
      </c>
      <c r="C45" s="43" t="str">
        <f aca="false">IF($P45="","",INDEX(Assessment!$H:$H,$P45))</f>
        <v/>
      </c>
      <c r="D45" s="44" t="str">
        <f aca="false">IF($P45="","",INDEX(Assessment!$C:$C,$P45))</f>
        <v/>
      </c>
      <c r="E45" s="45" t="str">
        <f aca="false">IF($P45="","",INDEX(Assessment!$D:$D,$P45))</f>
        <v/>
      </c>
      <c r="F45" s="46"/>
      <c r="G45" s="47"/>
      <c r="H45" s="47"/>
      <c r="I45" s="48"/>
      <c r="J45" s="48"/>
      <c r="K45" s="47"/>
      <c r="L45" s="46"/>
      <c r="P45" s="0" t="str">
        <f aca="false">IFERROR(MATCH(41,Assessment!$J$5:$J$164,0)+4,"")</f>
        <v/>
      </c>
    </row>
    <row r="46" customFormat="false" ht="33.75" hidden="false" customHeight="true" outlineLevel="0" collapsed="false">
      <c r="A46" s="42" t="str">
        <f aca="false">IF($P46="","",INDEX(Assessment!$A:$A,$P46))</f>
        <v/>
      </c>
      <c r="B46" s="42" t="str">
        <f aca="false">IF($P46="","",INDEX(Assessment!$B:$B,$P46))</f>
        <v/>
      </c>
      <c r="C46" s="43" t="str">
        <f aca="false">IF($P46="","",INDEX(Assessment!$H:$H,$P46))</f>
        <v/>
      </c>
      <c r="D46" s="44" t="str">
        <f aca="false">IF($P46="","",INDEX(Assessment!$C:$C,$P46))</f>
        <v/>
      </c>
      <c r="E46" s="45" t="str">
        <f aca="false">IF($P46="","",INDEX(Assessment!$D:$D,$P46))</f>
        <v/>
      </c>
      <c r="F46" s="46"/>
      <c r="G46" s="47"/>
      <c r="H46" s="47"/>
      <c r="I46" s="48"/>
      <c r="J46" s="48"/>
      <c r="K46" s="47"/>
      <c r="L46" s="46"/>
      <c r="P46" s="0" t="str">
        <f aca="false">IFERROR(MATCH(42,Assessment!$J$5:$J$164,0)+4,"")</f>
        <v/>
      </c>
    </row>
    <row r="47" customFormat="false" ht="33.75" hidden="false" customHeight="true" outlineLevel="0" collapsed="false">
      <c r="A47" s="42" t="str">
        <f aca="false">IF($P47="","",INDEX(Assessment!$A:$A,$P47))</f>
        <v/>
      </c>
      <c r="B47" s="42" t="str">
        <f aca="false">IF($P47="","",INDEX(Assessment!$B:$B,$P47))</f>
        <v/>
      </c>
      <c r="C47" s="43" t="str">
        <f aca="false">IF($P47="","",INDEX(Assessment!$H:$H,$P47))</f>
        <v/>
      </c>
      <c r="D47" s="44" t="str">
        <f aca="false">IF($P47="","",INDEX(Assessment!$C:$C,$P47))</f>
        <v/>
      </c>
      <c r="E47" s="45" t="str">
        <f aca="false">IF($P47="","",INDEX(Assessment!$D:$D,$P47))</f>
        <v/>
      </c>
      <c r="F47" s="46"/>
      <c r="G47" s="47"/>
      <c r="H47" s="47"/>
      <c r="I47" s="48"/>
      <c r="J47" s="48"/>
      <c r="K47" s="47"/>
      <c r="L47" s="46"/>
      <c r="P47" s="0" t="str">
        <f aca="false">IFERROR(MATCH(43,Assessment!$J$5:$J$164,0)+4,"")</f>
        <v/>
      </c>
    </row>
    <row r="48" customFormat="false" ht="33.75" hidden="false" customHeight="true" outlineLevel="0" collapsed="false">
      <c r="A48" s="42" t="str">
        <f aca="false">IF($P48="","",INDEX(Assessment!$A:$A,$P48))</f>
        <v/>
      </c>
      <c r="B48" s="42" t="str">
        <f aca="false">IF($P48="","",INDEX(Assessment!$B:$B,$P48))</f>
        <v/>
      </c>
      <c r="C48" s="43" t="str">
        <f aca="false">IF($P48="","",INDEX(Assessment!$H:$H,$P48))</f>
        <v/>
      </c>
      <c r="D48" s="44" t="str">
        <f aca="false">IF($P48="","",INDEX(Assessment!$C:$C,$P48))</f>
        <v/>
      </c>
      <c r="E48" s="45" t="str">
        <f aca="false">IF($P48="","",INDEX(Assessment!$D:$D,$P48))</f>
        <v/>
      </c>
      <c r="F48" s="46"/>
      <c r="G48" s="47"/>
      <c r="H48" s="47"/>
      <c r="I48" s="48"/>
      <c r="J48" s="48"/>
      <c r="K48" s="47"/>
      <c r="L48" s="46"/>
      <c r="P48" s="0" t="str">
        <f aca="false">IFERROR(MATCH(44,Assessment!$J$5:$J$164,0)+4,"")</f>
        <v/>
      </c>
    </row>
    <row r="49" customFormat="false" ht="33.75" hidden="false" customHeight="true" outlineLevel="0" collapsed="false">
      <c r="A49" s="42" t="str">
        <f aca="false">IF($P49="","",INDEX(Assessment!$A:$A,$P49))</f>
        <v/>
      </c>
      <c r="B49" s="42" t="str">
        <f aca="false">IF($P49="","",INDEX(Assessment!$B:$B,$P49))</f>
        <v/>
      </c>
      <c r="C49" s="43" t="str">
        <f aca="false">IF($P49="","",INDEX(Assessment!$H:$H,$P49))</f>
        <v/>
      </c>
      <c r="D49" s="44" t="str">
        <f aca="false">IF($P49="","",INDEX(Assessment!$C:$C,$P49))</f>
        <v/>
      </c>
      <c r="E49" s="45" t="str">
        <f aca="false">IF($P49="","",INDEX(Assessment!$D:$D,$P49))</f>
        <v/>
      </c>
      <c r="F49" s="46"/>
      <c r="G49" s="47"/>
      <c r="H49" s="47"/>
      <c r="I49" s="48"/>
      <c r="J49" s="48"/>
      <c r="K49" s="47"/>
      <c r="L49" s="46"/>
      <c r="P49" s="0" t="str">
        <f aca="false">IFERROR(MATCH(45,Assessment!$J$5:$J$164,0)+4,"")</f>
        <v/>
      </c>
    </row>
    <row r="50" customFormat="false" ht="33.75" hidden="false" customHeight="true" outlineLevel="0" collapsed="false">
      <c r="A50" s="42" t="str">
        <f aca="false">IF($P50="","",INDEX(Assessment!$A:$A,$P50))</f>
        <v/>
      </c>
      <c r="B50" s="42" t="str">
        <f aca="false">IF($P50="","",INDEX(Assessment!$B:$B,$P50))</f>
        <v/>
      </c>
      <c r="C50" s="43" t="str">
        <f aca="false">IF($P50="","",INDEX(Assessment!$H:$H,$P50))</f>
        <v/>
      </c>
      <c r="D50" s="44" t="str">
        <f aca="false">IF($P50="","",INDEX(Assessment!$C:$C,$P50))</f>
        <v/>
      </c>
      <c r="E50" s="45" t="str">
        <f aca="false">IF($P50="","",INDEX(Assessment!$D:$D,$P50))</f>
        <v/>
      </c>
      <c r="F50" s="46"/>
      <c r="G50" s="47"/>
      <c r="H50" s="47"/>
      <c r="I50" s="48"/>
      <c r="J50" s="48"/>
      <c r="K50" s="47"/>
      <c r="L50" s="46"/>
      <c r="P50" s="0" t="str">
        <f aca="false">IFERROR(MATCH(46,Assessment!$J$5:$J$164,0)+4,"")</f>
        <v/>
      </c>
    </row>
    <row r="51" customFormat="false" ht="33.75" hidden="false" customHeight="true" outlineLevel="0" collapsed="false">
      <c r="A51" s="42" t="str">
        <f aca="false">IF($P51="","",INDEX(Assessment!$A:$A,$P51))</f>
        <v/>
      </c>
      <c r="B51" s="42" t="str">
        <f aca="false">IF($P51="","",INDEX(Assessment!$B:$B,$P51))</f>
        <v/>
      </c>
      <c r="C51" s="43" t="str">
        <f aca="false">IF($P51="","",INDEX(Assessment!$H:$H,$P51))</f>
        <v/>
      </c>
      <c r="D51" s="44" t="str">
        <f aca="false">IF($P51="","",INDEX(Assessment!$C:$C,$P51))</f>
        <v/>
      </c>
      <c r="E51" s="45" t="str">
        <f aca="false">IF($P51="","",INDEX(Assessment!$D:$D,$P51))</f>
        <v/>
      </c>
      <c r="F51" s="46"/>
      <c r="G51" s="47"/>
      <c r="H51" s="47"/>
      <c r="I51" s="48"/>
      <c r="J51" s="48"/>
      <c r="K51" s="47"/>
      <c r="L51" s="46"/>
      <c r="P51" s="0" t="str">
        <f aca="false">IFERROR(MATCH(47,Assessment!$J$5:$J$164,0)+4,"")</f>
        <v/>
      </c>
    </row>
    <row r="52" customFormat="false" ht="33.75" hidden="false" customHeight="true" outlineLevel="0" collapsed="false">
      <c r="A52" s="42" t="str">
        <f aca="false">IF($P52="","",INDEX(Assessment!$A:$A,$P52))</f>
        <v/>
      </c>
      <c r="B52" s="42" t="str">
        <f aca="false">IF($P52="","",INDEX(Assessment!$B:$B,$P52))</f>
        <v/>
      </c>
      <c r="C52" s="43" t="str">
        <f aca="false">IF($P52="","",INDEX(Assessment!$H:$H,$P52))</f>
        <v/>
      </c>
      <c r="D52" s="44" t="str">
        <f aca="false">IF($P52="","",INDEX(Assessment!$C:$C,$P52))</f>
        <v/>
      </c>
      <c r="E52" s="45" t="str">
        <f aca="false">IF($P52="","",INDEX(Assessment!$D:$D,$P52))</f>
        <v/>
      </c>
      <c r="F52" s="46"/>
      <c r="G52" s="47"/>
      <c r="H52" s="47"/>
      <c r="I52" s="48"/>
      <c r="J52" s="48"/>
      <c r="K52" s="47"/>
      <c r="L52" s="46"/>
      <c r="P52" s="0" t="str">
        <f aca="false">IFERROR(MATCH(48,Assessment!$J$5:$J$164,0)+4,"")</f>
        <v/>
      </c>
    </row>
    <row r="53" customFormat="false" ht="33.75" hidden="false" customHeight="true" outlineLevel="0" collapsed="false">
      <c r="A53" s="42" t="str">
        <f aca="false">IF($P53="","",INDEX(Assessment!$A:$A,$P53))</f>
        <v/>
      </c>
      <c r="B53" s="42" t="str">
        <f aca="false">IF($P53="","",INDEX(Assessment!$B:$B,$P53))</f>
        <v/>
      </c>
      <c r="C53" s="43" t="str">
        <f aca="false">IF($P53="","",INDEX(Assessment!$H:$H,$P53))</f>
        <v/>
      </c>
      <c r="D53" s="44" t="str">
        <f aca="false">IF($P53="","",INDEX(Assessment!$C:$C,$P53))</f>
        <v/>
      </c>
      <c r="E53" s="45" t="str">
        <f aca="false">IF($P53="","",INDEX(Assessment!$D:$D,$P53))</f>
        <v/>
      </c>
      <c r="F53" s="46"/>
      <c r="G53" s="47"/>
      <c r="H53" s="47"/>
      <c r="I53" s="48"/>
      <c r="J53" s="48"/>
      <c r="K53" s="47"/>
      <c r="L53" s="46"/>
      <c r="P53" s="0" t="str">
        <f aca="false">IFERROR(MATCH(49,Assessment!$J$5:$J$164,0)+4,"")</f>
        <v/>
      </c>
    </row>
    <row r="54" customFormat="false" ht="33.75" hidden="false" customHeight="true" outlineLevel="0" collapsed="false">
      <c r="A54" s="42" t="str">
        <f aca="false">IF($P54="","",INDEX(Assessment!$A:$A,$P54))</f>
        <v/>
      </c>
      <c r="B54" s="42" t="str">
        <f aca="false">IF($P54="","",INDEX(Assessment!$B:$B,$P54))</f>
        <v/>
      </c>
      <c r="C54" s="43" t="str">
        <f aca="false">IF($P54="","",INDEX(Assessment!$H:$H,$P54))</f>
        <v/>
      </c>
      <c r="D54" s="44" t="str">
        <f aca="false">IF($P54="","",INDEX(Assessment!$C:$C,$P54))</f>
        <v/>
      </c>
      <c r="E54" s="45" t="str">
        <f aca="false">IF($P54="","",INDEX(Assessment!$D:$D,$P54))</f>
        <v/>
      </c>
      <c r="F54" s="46"/>
      <c r="G54" s="47"/>
      <c r="H54" s="47"/>
      <c r="I54" s="48"/>
      <c r="J54" s="48"/>
      <c r="K54" s="47"/>
      <c r="L54" s="46"/>
      <c r="P54" s="0" t="str">
        <f aca="false">IFERROR(MATCH(50,Assessment!$J$5:$J$164,0)+4,"")</f>
        <v/>
      </c>
    </row>
    <row r="55" customFormat="false" ht="33.75" hidden="false" customHeight="true" outlineLevel="0" collapsed="false">
      <c r="A55" s="42" t="str">
        <f aca="false">IF($P55="","",INDEX(Assessment!$A:$A,$P55))</f>
        <v/>
      </c>
      <c r="B55" s="42" t="str">
        <f aca="false">IF($P55="","",INDEX(Assessment!$B:$B,$P55))</f>
        <v/>
      </c>
      <c r="C55" s="43" t="str">
        <f aca="false">IF($P55="","",INDEX(Assessment!$H:$H,$P55))</f>
        <v/>
      </c>
      <c r="D55" s="44" t="str">
        <f aca="false">IF($P55="","",INDEX(Assessment!$C:$C,$P55))</f>
        <v/>
      </c>
      <c r="E55" s="45" t="str">
        <f aca="false">IF($P55="","",INDEX(Assessment!$D:$D,$P55))</f>
        <v/>
      </c>
      <c r="F55" s="46"/>
      <c r="G55" s="47"/>
      <c r="H55" s="47"/>
      <c r="I55" s="48"/>
      <c r="J55" s="48"/>
      <c r="K55" s="47"/>
      <c r="L55" s="46"/>
      <c r="P55" s="0" t="str">
        <f aca="false">IFERROR(MATCH(51,Assessment!$J$5:$J$164,0)+4,"")</f>
        <v/>
      </c>
    </row>
    <row r="56" customFormat="false" ht="33.75" hidden="false" customHeight="true" outlineLevel="0" collapsed="false">
      <c r="A56" s="42" t="str">
        <f aca="false">IF($P56="","",INDEX(Assessment!$A:$A,$P56))</f>
        <v/>
      </c>
      <c r="B56" s="42" t="str">
        <f aca="false">IF($P56="","",INDEX(Assessment!$B:$B,$P56))</f>
        <v/>
      </c>
      <c r="C56" s="43" t="str">
        <f aca="false">IF($P56="","",INDEX(Assessment!$H:$H,$P56))</f>
        <v/>
      </c>
      <c r="D56" s="44" t="str">
        <f aca="false">IF($P56="","",INDEX(Assessment!$C:$C,$P56))</f>
        <v/>
      </c>
      <c r="E56" s="45" t="str">
        <f aca="false">IF($P56="","",INDEX(Assessment!$D:$D,$P56))</f>
        <v/>
      </c>
      <c r="F56" s="46"/>
      <c r="G56" s="47"/>
      <c r="H56" s="47"/>
      <c r="I56" s="48"/>
      <c r="J56" s="48"/>
      <c r="K56" s="47"/>
      <c r="L56" s="46"/>
      <c r="P56" s="0" t="str">
        <f aca="false">IFERROR(MATCH(52,Assessment!$J$5:$J$164,0)+4,"")</f>
        <v/>
      </c>
    </row>
    <row r="57" customFormat="false" ht="33.75" hidden="false" customHeight="true" outlineLevel="0" collapsed="false">
      <c r="A57" s="42" t="str">
        <f aca="false">IF($P57="","",INDEX(Assessment!$A:$A,$P57))</f>
        <v/>
      </c>
      <c r="B57" s="42" t="str">
        <f aca="false">IF($P57="","",INDEX(Assessment!$B:$B,$P57))</f>
        <v/>
      </c>
      <c r="C57" s="43" t="str">
        <f aca="false">IF($P57="","",INDEX(Assessment!$H:$H,$P57))</f>
        <v/>
      </c>
      <c r="D57" s="44" t="str">
        <f aca="false">IF($P57="","",INDEX(Assessment!$C:$C,$P57))</f>
        <v/>
      </c>
      <c r="E57" s="45" t="str">
        <f aca="false">IF($P57="","",INDEX(Assessment!$D:$D,$P57))</f>
        <v/>
      </c>
      <c r="F57" s="46"/>
      <c r="G57" s="47"/>
      <c r="H57" s="47"/>
      <c r="I57" s="48"/>
      <c r="J57" s="48"/>
      <c r="K57" s="47"/>
      <c r="L57" s="46"/>
      <c r="P57" s="0" t="str">
        <f aca="false">IFERROR(MATCH(53,Assessment!$J$5:$J$164,0)+4,"")</f>
        <v/>
      </c>
    </row>
    <row r="58" customFormat="false" ht="33.75" hidden="false" customHeight="true" outlineLevel="0" collapsed="false">
      <c r="A58" s="42" t="str">
        <f aca="false">IF($P58="","",INDEX(Assessment!$A:$A,$P58))</f>
        <v/>
      </c>
      <c r="B58" s="42" t="str">
        <f aca="false">IF($P58="","",INDEX(Assessment!$B:$B,$P58))</f>
        <v/>
      </c>
      <c r="C58" s="43" t="str">
        <f aca="false">IF($P58="","",INDEX(Assessment!$H:$H,$P58))</f>
        <v/>
      </c>
      <c r="D58" s="44" t="str">
        <f aca="false">IF($P58="","",INDEX(Assessment!$C:$C,$P58))</f>
        <v/>
      </c>
      <c r="E58" s="45" t="str">
        <f aca="false">IF($P58="","",INDEX(Assessment!$D:$D,$P58))</f>
        <v/>
      </c>
      <c r="F58" s="46"/>
      <c r="G58" s="47"/>
      <c r="H58" s="47"/>
      <c r="I58" s="48"/>
      <c r="J58" s="48"/>
      <c r="K58" s="47"/>
      <c r="L58" s="46"/>
      <c r="P58" s="0" t="str">
        <f aca="false">IFERROR(MATCH(54,Assessment!$J$5:$J$164,0)+4,"")</f>
        <v/>
      </c>
    </row>
    <row r="59" customFormat="false" ht="33.75" hidden="false" customHeight="true" outlineLevel="0" collapsed="false">
      <c r="A59" s="42" t="str">
        <f aca="false">IF($P59="","",INDEX(Assessment!$A:$A,$P59))</f>
        <v/>
      </c>
      <c r="B59" s="42" t="str">
        <f aca="false">IF($P59="","",INDEX(Assessment!$B:$B,$P59))</f>
        <v/>
      </c>
      <c r="C59" s="43" t="str">
        <f aca="false">IF($P59="","",INDEX(Assessment!$H:$H,$P59))</f>
        <v/>
      </c>
      <c r="D59" s="44" t="str">
        <f aca="false">IF($P59="","",INDEX(Assessment!$C:$C,$P59))</f>
        <v/>
      </c>
      <c r="E59" s="45" t="str">
        <f aca="false">IF($P59="","",INDEX(Assessment!$D:$D,$P59))</f>
        <v/>
      </c>
      <c r="F59" s="46"/>
      <c r="G59" s="47"/>
      <c r="H59" s="47"/>
      <c r="I59" s="48"/>
      <c r="J59" s="48"/>
      <c r="K59" s="47"/>
      <c r="L59" s="46"/>
      <c r="P59" s="0" t="str">
        <f aca="false">IFERROR(MATCH(55,Assessment!$J$5:$J$164,0)+4,"")</f>
        <v/>
      </c>
    </row>
    <row r="60" customFormat="false" ht="33.75" hidden="false" customHeight="true" outlineLevel="0" collapsed="false">
      <c r="A60" s="42" t="str">
        <f aca="false">IF($P60="","",INDEX(Assessment!$A:$A,$P60))</f>
        <v/>
      </c>
      <c r="B60" s="42" t="str">
        <f aca="false">IF($P60="","",INDEX(Assessment!$B:$B,$P60))</f>
        <v/>
      </c>
      <c r="C60" s="43" t="str">
        <f aca="false">IF($P60="","",INDEX(Assessment!$H:$H,$P60))</f>
        <v/>
      </c>
      <c r="D60" s="44" t="str">
        <f aca="false">IF($P60="","",INDEX(Assessment!$C:$C,$P60))</f>
        <v/>
      </c>
      <c r="E60" s="45" t="str">
        <f aca="false">IF($P60="","",INDEX(Assessment!$D:$D,$P60))</f>
        <v/>
      </c>
      <c r="F60" s="46"/>
      <c r="G60" s="47"/>
      <c r="H60" s="47"/>
      <c r="I60" s="48"/>
      <c r="J60" s="48"/>
      <c r="K60" s="47"/>
      <c r="L60" s="46"/>
      <c r="P60" s="0" t="str">
        <f aca="false">IFERROR(MATCH(56,Assessment!$J$5:$J$164,0)+4,"")</f>
        <v/>
      </c>
    </row>
    <row r="61" customFormat="false" ht="33.75" hidden="false" customHeight="true" outlineLevel="0" collapsed="false">
      <c r="A61" s="42" t="str">
        <f aca="false">IF($P61="","",INDEX(Assessment!$A:$A,$P61))</f>
        <v/>
      </c>
      <c r="B61" s="42" t="str">
        <f aca="false">IF($P61="","",INDEX(Assessment!$B:$B,$P61))</f>
        <v/>
      </c>
      <c r="C61" s="43" t="str">
        <f aca="false">IF($P61="","",INDEX(Assessment!$H:$H,$P61))</f>
        <v/>
      </c>
      <c r="D61" s="44" t="str">
        <f aca="false">IF($P61="","",INDEX(Assessment!$C:$C,$P61))</f>
        <v/>
      </c>
      <c r="E61" s="45" t="str">
        <f aca="false">IF($P61="","",INDEX(Assessment!$D:$D,$P61))</f>
        <v/>
      </c>
      <c r="F61" s="46"/>
      <c r="G61" s="47"/>
      <c r="H61" s="47"/>
      <c r="I61" s="48"/>
      <c r="J61" s="48"/>
      <c r="K61" s="47"/>
      <c r="L61" s="46"/>
      <c r="P61" s="0" t="str">
        <f aca="false">IFERROR(MATCH(57,Assessment!$J$5:$J$164,0)+4,"")</f>
        <v/>
      </c>
    </row>
    <row r="62" customFormat="false" ht="33.75" hidden="false" customHeight="true" outlineLevel="0" collapsed="false">
      <c r="A62" s="42" t="str">
        <f aca="false">IF($P62="","",INDEX(Assessment!$A:$A,$P62))</f>
        <v/>
      </c>
      <c r="B62" s="42" t="str">
        <f aca="false">IF($P62="","",INDEX(Assessment!$B:$B,$P62))</f>
        <v/>
      </c>
      <c r="C62" s="43" t="str">
        <f aca="false">IF($P62="","",INDEX(Assessment!$H:$H,$P62))</f>
        <v/>
      </c>
      <c r="D62" s="44" t="str">
        <f aca="false">IF($P62="","",INDEX(Assessment!$C:$C,$P62))</f>
        <v/>
      </c>
      <c r="E62" s="45" t="str">
        <f aca="false">IF($P62="","",INDEX(Assessment!$D:$D,$P62))</f>
        <v/>
      </c>
      <c r="F62" s="46"/>
      <c r="G62" s="47"/>
      <c r="H62" s="47"/>
      <c r="I62" s="48"/>
      <c r="J62" s="48"/>
      <c r="K62" s="47"/>
      <c r="L62" s="46"/>
      <c r="P62" s="0" t="str">
        <f aca="false">IFERROR(MATCH(58,Assessment!$J$5:$J$164,0)+4,"")</f>
        <v/>
      </c>
    </row>
    <row r="63" customFormat="false" ht="33.75" hidden="false" customHeight="true" outlineLevel="0" collapsed="false">
      <c r="A63" s="42" t="str">
        <f aca="false">IF($P63="","",INDEX(Assessment!$A:$A,$P63))</f>
        <v/>
      </c>
      <c r="B63" s="42" t="str">
        <f aca="false">IF($P63="","",INDEX(Assessment!$B:$B,$P63))</f>
        <v/>
      </c>
      <c r="C63" s="43" t="str">
        <f aca="false">IF($P63="","",INDEX(Assessment!$H:$H,$P63))</f>
        <v/>
      </c>
      <c r="D63" s="44" t="str">
        <f aca="false">IF($P63="","",INDEX(Assessment!$C:$C,$P63))</f>
        <v/>
      </c>
      <c r="E63" s="45" t="str">
        <f aca="false">IF($P63="","",INDEX(Assessment!$D:$D,$P63))</f>
        <v/>
      </c>
      <c r="F63" s="46"/>
      <c r="G63" s="47"/>
      <c r="H63" s="47"/>
      <c r="I63" s="48"/>
      <c r="J63" s="48"/>
      <c r="K63" s="47"/>
      <c r="L63" s="46"/>
      <c r="P63" s="0" t="str">
        <f aca="false">IFERROR(MATCH(59,Assessment!$J$5:$J$164,0)+4,"")</f>
        <v/>
      </c>
    </row>
    <row r="64" customFormat="false" ht="33.75" hidden="false" customHeight="true" outlineLevel="0" collapsed="false">
      <c r="A64" s="42" t="str">
        <f aca="false">IF($P64="","",INDEX(Assessment!$A:$A,$P64))</f>
        <v/>
      </c>
      <c r="B64" s="42" t="str">
        <f aca="false">IF($P64="","",INDEX(Assessment!$B:$B,$P64))</f>
        <v/>
      </c>
      <c r="C64" s="43" t="str">
        <f aca="false">IF($P64="","",INDEX(Assessment!$H:$H,$P64))</f>
        <v/>
      </c>
      <c r="D64" s="44" t="str">
        <f aca="false">IF($P64="","",INDEX(Assessment!$C:$C,$P64))</f>
        <v/>
      </c>
      <c r="E64" s="45" t="str">
        <f aca="false">IF($P64="","",INDEX(Assessment!$D:$D,$P64))</f>
        <v/>
      </c>
      <c r="F64" s="46"/>
      <c r="G64" s="47"/>
      <c r="H64" s="47"/>
      <c r="I64" s="48"/>
      <c r="J64" s="48"/>
      <c r="K64" s="47"/>
      <c r="L64" s="46"/>
      <c r="P64" s="0" t="str">
        <f aca="false">IFERROR(MATCH(60,Assessment!$J$5:$J$164,0)+4,"")</f>
        <v/>
      </c>
    </row>
    <row r="65" customFormat="false" ht="33.75" hidden="false" customHeight="true" outlineLevel="0" collapsed="false">
      <c r="A65" s="42" t="str">
        <f aca="false">IF($P65="","",INDEX(Assessment!$A:$A,$P65))</f>
        <v/>
      </c>
      <c r="B65" s="42" t="str">
        <f aca="false">IF($P65="","",INDEX(Assessment!$B:$B,$P65))</f>
        <v/>
      </c>
      <c r="C65" s="43" t="str">
        <f aca="false">IF($P65="","",INDEX(Assessment!$H:$H,$P65))</f>
        <v/>
      </c>
      <c r="D65" s="44" t="str">
        <f aca="false">IF($P65="","",INDEX(Assessment!$C:$C,$P65))</f>
        <v/>
      </c>
      <c r="E65" s="45" t="str">
        <f aca="false">IF($P65="","",INDEX(Assessment!$D:$D,$P65))</f>
        <v/>
      </c>
      <c r="F65" s="46"/>
      <c r="G65" s="47"/>
      <c r="H65" s="47"/>
      <c r="I65" s="48"/>
      <c r="J65" s="48"/>
      <c r="K65" s="47"/>
      <c r="L65" s="46"/>
      <c r="P65" s="0" t="str">
        <f aca="false">IFERROR(MATCH(61,Assessment!$J$5:$J$164,0)+4,"")</f>
        <v/>
      </c>
    </row>
    <row r="66" customFormat="false" ht="33.75" hidden="false" customHeight="true" outlineLevel="0" collapsed="false">
      <c r="A66" s="42" t="str">
        <f aca="false">IF($P66="","",INDEX(Assessment!$A:$A,$P66))</f>
        <v/>
      </c>
      <c r="B66" s="42" t="str">
        <f aca="false">IF($P66="","",INDEX(Assessment!$B:$B,$P66))</f>
        <v/>
      </c>
      <c r="C66" s="43" t="str">
        <f aca="false">IF($P66="","",INDEX(Assessment!$H:$H,$P66))</f>
        <v/>
      </c>
      <c r="D66" s="44" t="str">
        <f aca="false">IF($P66="","",INDEX(Assessment!$C:$C,$P66))</f>
        <v/>
      </c>
      <c r="E66" s="45" t="str">
        <f aca="false">IF($P66="","",INDEX(Assessment!$D:$D,$P66))</f>
        <v/>
      </c>
      <c r="F66" s="46"/>
      <c r="G66" s="47"/>
      <c r="H66" s="47"/>
      <c r="I66" s="48"/>
      <c r="J66" s="48"/>
      <c r="K66" s="47"/>
      <c r="L66" s="46"/>
      <c r="P66" s="0" t="str">
        <f aca="false">IFERROR(MATCH(62,Assessment!$J$5:$J$164,0)+4,"")</f>
        <v/>
      </c>
    </row>
    <row r="67" customFormat="false" ht="33.75" hidden="false" customHeight="true" outlineLevel="0" collapsed="false">
      <c r="A67" s="42" t="str">
        <f aca="false">IF($P67="","",INDEX(Assessment!$A:$A,$P67))</f>
        <v/>
      </c>
      <c r="B67" s="42" t="str">
        <f aca="false">IF($P67="","",INDEX(Assessment!$B:$B,$P67))</f>
        <v/>
      </c>
      <c r="C67" s="43" t="str">
        <f aca="false">IF($P67="","",INDEX(Assessment!$H:$H,$P67))</f>
        <v/>
      </c>
      <c r="D67" s="44" t="str">
        <f aca="false">IF($P67="","",INDEX(Assessment!$C:$C,$P67))</f>
        <v/>
      </c>
      <c r="E67" s="45" t="str">
        <f aca="false">IF($P67="","",INDEX(Assessment!$D:$D,$P67))</f>
        <v/>
      </c>
      <c r="F67" s="46"/>
      <c r="G67" s="47"/>
      <c r="H67" s="47"/>
      <c r="I67" s="48"/>
      <c r="J67" s="48"/>
      <c r="K67" s="47"/>
      <c r="L67" s="46"/>
      <c r="P67" s="0" t="str">
        <f aca="false">IFERROR(MATCH(63,Assessment!$J$5:$J$164,0)+4,"")</f>
        <v/>
      </c>
    </row>
    <row r="68" customFormat="false" ht="33.75" hidden="false" customHeight="true" outlineLevel="0" collapsed="false">
      <c r="A68" s="42" t="str">
        <f aca="false">IF($P68="","",INDEX(Assessment!$A:$A,$P68))</f>
        <v/>
      </c>
      <c r="B68" s="42" t="str">
        <f aca="false">IF($P68="","",INDEX(Assessment!$B:$B,$P68))</f>
        <v/>
      </c>
      <c r="C68" s="43" t="str">
        <f aca="false">IF($P68="","",INDEX(Assessment!$H:$H,$P68))</f>
        <v/>
      </c>
      <c r="D68" s="44" t="str">
        <f aca="false">IF($P68="","",INDEX(Assessment!$C:$C,$P68))</f>
        <v/>
      </c>
      <c r="E68" s="45" t="str">
        <f aca="false">IF($P68="","",INDEX(Assessment!$D:$D,$P68))</f>
        <v/>
      </c>
      <c r="F68" s="46"/>
      <c r="G68" s="47"/>
      <c r="H68" s="47"/>
      <c r="I68" s="48"/>
      <c r="J68" s="48"/>
      <c r="K68" s="47"/>
      <c r="L68" s="46"/>
      <c r="P68" s="0" t="str">
        <f aca="false">IFERROR(MATCH(64,Assessment!$J$5:$J$164,0)+4,"")</f>
        <v/>
      </c>
    </row>
    <row r="69" customFormat="false" ht="33.75" hidden="false" customHeight="true" outlineLevel="0" collapsed="false">
      <c r="A69" s="42" t="str">
        <f aca="false">IF($P69="","",INDEX(Assessment!$A:$A,$P69))</f>
        <v/>
      </c>
      <c r="B69" s="42" t="str">
        <f aca="false">IF($P69="","",INDEX(Assessment!$B:$B,$P69))</f>
        <v/>
      </c>
      <c r="C69" s="43" t="str">
        <f aca="false">IF($P69="","",INDEX(Assessment!$H:$H,$P69))</f>
        <v/>
      </c>
      <c r="D69" s="44" t="str">
        <f aca="false">IF($P69="","",INDEX(Assessment!$C:$C,$P69))</f>
        <v/>
      </c>
      <c r="E69" s="45" t="str">
        <f aca="false">IF($P69="","",INDEX(Assessment!$D:$D,$P69))</f>
        <v/>
      </c>
      <c r="F69" s="46"/>
      <c r="G69" s="47"/>
      <c r="H69" s="47"/>
      <c r="I69" s="48"/>
      <c r="J69" s="48"/>
      <c r="K69" s="47"/>
      <c r="L69" s="46"/>
      <c r="P69" s="0" t="str">
        <f aca="false">IFERROR(MATCH(65,Assessment!$J$5:$J$164,0)+4,"")</f>
        <v/>
      </c>
    </row>
    <row r="70" customFormat="false" ht="33.75" hidden="false" customHeight="true" outlineLevel="0" collapsed="false">
      <c r="A70" s="42" t="str">
        <f aca="false">IF($P70="","",INDEX(Assessment!$A:$A,$P70))</f>
        <v/>
      </c>
      <c r="B70" s="42" t="str">
        <f aca="false">IF($P70="","",INDEX(Assessment!$B:$B,$P70))</f>
        <v/>
      </c>
      <c r="C70" s="43" t="str">
        <f aca="false">IF($P70="","",INDEX(Assessment!$H:$H,$P70))</f>
        <v/>
      </c>
      <c r="D70" s="44" t="str">
        <f aca="false">IF($P70="","",INDEX(Assessment!$C:$C,$P70))</f>
        <v/>
      </c>
      <c r="E70" s="45" t="str">
        <f aca="false">IF($P70="","",INDEX(Assessment!$D:$D,$P70))</f>
        <v/>
      </c>
      <c r="F70" s="46"/>
      <c r="G70" s="47"/>
      <c r="H70" s="47"/>
      <c r="I70" s="48"/>
      <c r="J70" s="48"/>
      <c r="K70" s="47"/>
      <c r="L70" s="46"/>
      <c r="P70" s="0" t="str">
        <f aca="false">IFERROR(MATCH(66,Assessment!$J$5:$J$164,0)+4,"")</f>
        <v/>
      </c>
    </row>
    <row r="71" customFormat="false" ht="33.75" hidden="false" customHeight="true" outlineLevel="0" collapsed="false">
      <c r="A71" s="42" t="str">
        <f aca="false">IF($P71="","",INDEX(Assessment!$A:$A,$P71))</f>
        <v/>
      </c>
      <c r="B71" s="42" t="str">
        <f aca="false">IF($P71="","",INDEX(Assessment!$B:$B,$P71))</f>
        <v/>
      </c>
      <c r="C71" s="43" t="str">
        <f aca="false">IF($P71="","",INDEX(Assessment!$H:$H,$P71))</f>
        <v/>
      </c>
      <c r="D71" s="44" t="str">
        <f aca="false">IF($P71="","",INDEX(Assessment!$C:$C,$P71))</f>
        <v/>
      </c>
      <c r="E71" s="45" t="str">
        <f aca="false">IF($P71="","",INDEX(Assessment!$D:$D,$P71))</f>
        <v/>
      </c>
      <c r="F71" s="46"/>
      <c r="G71" s="47"/>
      <c r="H71" s="47"/>
      <c r="I71" s="48"/>
      <c r="J71" s="48"/>
      <c r="K71" s="47"/>
      <c r="L71" s="46"/>
      <c r="P71" s="0" t="str">
        <f aca="false">IFERROR(MATCH(67,Assessment!$J$5:$J$164,0)+4,"")</f>
        <v/>
      </c>
    </row>
    <row r="72" customFormat="false" ht="33.75" hidden="false" customHeight="true" outlineLevel="0" collapsed="false">
      <c r="A72" s="42" t="str">
        <f aca="false">IF($P72="","",INDEX(Assessment!$A:$A,$P72))</f>
        <v/>
      </c>
      <c r="B72" s="42" t="str">
        <f aca="false">IF($P72="","",INDEX(Assessment!$B:$B,$P72))</f>
        <v/>
      </c>
      <c r="C72" s="43" t="str">
        <f aca="false">IF($P72="","",INDEX(Assessment!$H:$H,$P72))</f>
        <v/>
      </c>
      <c r="D72" s="44" t="str">
        <f aca="false">IF($P72="","",INDEX(Assessment!$C:$C,$P72))</f>
        <v/>
      </c>
      <c r="E72" s="45" t="str">
        <f aca="false">IF($P72="","",INDEX(Assessment!$D:$D,$P72))</f>
        <v/>
      </c>
      <c r="F72" s="46"/>
      <c r="G72" s="47"/>
      <c r="H72" s="47"/>
      <c r="I72" s="48"/>
      <c r="J72" s="48"/>
      <c r="K72" s="47"/>
      <c r="L72" s="46"/>
      <c r="P72" s="0" t="str">
        <f aca="false">IFERROR(MATCH(68,Assessment!$J$5:$J$164,0)+4,"")</f>
        <v/>
      </c>
    </row>
    <row r="73" customFormat="false" ht="33.75" hidden="false" customHeight="true" outlineLevel="0" collapsed="false">
      <c r="A73" s="42" t="str">
        <f aca="false">IF($P73="","",INDEX(Assessment!$A:$A,$P73))</f>
        <v/>
      </c>
      <c r="B73" s="42" t="str">
        <f aca="false">IF($P73="","",INDEX(Assessment!$B:$B,$P73))</f>
        <v/>
      </c>
      <c r="C73" s="43" t="str">
        <f aca="false">IF($P73="","",INDEX(Assessment!$H:$H,$P73))</f>
        <v/>
      </c>
      <c r="D73" s="44" t="str">
        <f aca="false">IF($P73="","",INDEX(Assessment!$C:$C,$P73))</f>
        <v/>
      </c>
      <c r="E73" s="45" t="str">
        <f aca="false">IF($P73="","",INDEX(Assessment!$D:$D,$P73))</f>
        <v/>
      </c>
      <c r="F73" s="46"/>
      <c r="G73" s="47"/>
      <c r="H73" s="47"/>
      <c r="I73" s="48"/>
      <c r="J73" s="48"/>
      <c r="K73" s="47"/>
      <c r="L73" s="46"/>
      <c r="P73" s="0" t="str">
        <f aca="false">IFERROR(MATCH(69,Assessment!$J$5:$J$164,0)+4,"")</f>
        <v/>
      </c>
    </row>
    <row r="74" customFormat="false" ht="33.75" hidden="false" customHeight="true" outlineLevel="0" collapsed="false">
      <c r="A74" s="42" t="str">
        <f aca="false">IF($P74="","",INDEX(Assessment!$A:$A,$P74))</f>
        <v/>
      </c>
      <c r="B74" s="42" t="str">
        <f aca="false">IF($P74="","",INDEX(Assessment!$B:$B,$P74))</f>
        <v/>
      </c>
      <c r="C74" s="43" t="str">
        <f aca="false">IF($P74="","",INDEX(Assessment!$H:$H,$P74))</f>
        <v/>
      </c>
      <c r="D74" s="44" t="str">
        <f aca="false">IF($P74="","",INDEX(Assessment!$C:$C,$P74))</f>
        <v/>
      </c>
      <c r="E74" s="45" t="str">
        <f aca="false">IF($P74="","",INDEX(Assessment!$D:$D,$P74))</f>
        <v/>
      </c>
      <c r="F74" s="46"/>
      <c r="G74" s="47"/>
      <c r="H74" s="47"/>
      <c r="I74" s="48"/>
      <c r="J74" s="48"/>
      <c r="K74" s="47"/>
      <c r="L74" s="46"/>
      <c r="P74" s="0" t="str">
        <f aca="false">IFERROR(MATCH(70,Assessment!$J$5:$J$164,0)+4,"")</f>
        <v/>
      </c>
    </row>
    <row r="75" customFormat="false" ht="33.75" hidden="false" customHeight="true" outlineLevel="0" collapsed="false">
      <c r="A75" s="42" t="str">
        <f aca="false">IF($P75="","",INDEX(Assessment!$A:$A,$P75))</f>
        <v/>
      </c>
      <c r="B75" s="42" t="str">
        <f aca="false">IF($P75="","",INDEX(Assessment!$B:$B,$P75))</f>
        <v/>
      </c>
      <c r="C75" s="43" t="str">
        <f aca="false">IF($P75="","",INDEX(Assessment!$H:$H,$P75))</f>
        <v/>
      </c>
      <c r="D75" s="44" t="str">
        <f aca="false">IF($P75="","",INDEX(Assessment!$C:$C,$P75))</f>
        <v/>
      </c>
      <c r="E75" s="45" t="str">
        <f aca="false">IF($P75="","",INDEX(Assessment!$D:$D,$P75))</f>
        <v/>
      </c>
      <c r="F75" s="46"/>
      <c r="G75" s="47"/>
      <c r="H75" s="47"/>
      <c r="I75" s="48"/>
      <c r="J75" s="48"/>
      <c r="K75" s="47"/>
      <c r="L75" s="46"/>
      <c r="P75" s="0" t="str">
        <f aca="false">IFERROR(MATCH(71,Assessment!$J$5:$J$164,0)+4,"")</f>
        <v/>
      </c>
    </row>
    <row r="76" customFormat="false" ht="33.75" hidden="false" customHeight="true" outlineLevel="0" collapsed="false">
      <c r="A76" s="42" t="str">
        <f aca="false">IF($P76="","",INDEX(Assessment!$A:$A,$P76))</f>
        <v/>
      </c>
      <c r="B76" s="42" t="str">
        <f aca="false">IF($P76="","",INDEX(Assessment!$B:$B,$P76))</f>
        <v/>
      </c>
      <c r="C76" s="43" t="str">
        <f aca="false">IF($P76="","",INDEX(Assessment!$H:$H,$P76))</f>
        <v/>
      </c>
      <c r="D76" s="44" t="str">
        <f aca="false">IF($P76="","",INDEX(Assessment!$C:$C,$P76))</f>
        <v/>
      </c>
      <c r="E76" s="45" t="str">
        <f aca="false">IF($P76="","",INDEX(Assessment!$D:$D,$P76))</f>
        <v/>
      </c>
      <c r="F76" s="46"/>
      <c r="G76" s="47"/>
      <c r="H76" s="47"/>
      <c r="I76" s="48"/>
      <c r="J76" s="48"/>
      <c r="K76" s="47"/>
      <c r="L76" s="46"/>
      <c r="P76" s="0" t="str">
        <f aca="false">IFERROR(MATCH(72,Assessment!$J$5:$J$164,0)+4,"")</f>
        <v/>
      </c>
    </row>
    <row r="77" customFormat="false" ht="33.75" hidden="false" customHeight="true" outlineLevel="0" collapsed="false">
      <c r="A77" s="42" t="str">
        <f aca="false">IF($P77="","",INDEX(Assessment!$A:$A,$P77))</f>
        <v/>
      </c>
      <c r="B77" s="42" t="str">
        <f aca="false">IF($P77="","",INDEX(Assessment!$B:$B,$P77))</f>
        <v/>
      </c>
      <c r="C77" s="43" t="str">
        <f aca="false">IF($P77="","",INDEX(Assessment!$H:$H,$P77))</f>
        <v/>
      </c>
      <c r="D77" s="44" t="str">
        <f aca="false">IF($P77="","",INDEX(Assessment!$C:$C,$P77))</f>
        <v/>
      </c>
      <c r="E77" s="45" t="str">
        <f aca="false">IF($P77="","",INDEX(Assessment!$D:$D,$P77))</f>
        <v/>
      </c>
      <c r="F77" s="46"/>
      <c r="G77" s="47"/>
      <c r="H77" s="47"/>
      <c r="I77" s="48"/>
      <c r="J77" s="48"/>
      <c r="K77" s="47"/>
      <c r="L77" s="46"/>
      <c r="P77" s="0" t="str">
        <f aca="false">IFERROR(MATCH(73,Assessment!$J$5:$J$164,0)+4,"")</f>
        <v/>
      </c>
    </row>
    <row r="78" customFormat="false" ht="33.75" hidden="false" customHeight="true" outlineLevel="0" collapsed="false">
      <c r="A78" s="42" t="str">
        <f aca="false">IF($P78="","",INDEX(Assessment!$A:$A,$P78))</f>
        <v/>
      </c>
      <c r="B78" s="42" t="str">
        <f aca="false">IF($P78="","",INDEX(Assessment!$B:$B,$P78))</f>
        <v/>
      </c>
      <c r="C78" s="43" t="str">
        <f aca="false">IF($P78="","",INDEX(Assessment!$H:$H,$P78))</f>
        <v/>
      </c>
      <c r="D78" s="44" t="str">
        <f aca="false">IF($P78="","",INDEX(Assessment!$C:$C,$P78))</f>
        <v/>
      </c>
      <c r="E78" s="45" t="str">
        <f aca="false">IF($P78="","",INDEX(Assessment!$D:$D,$P78))</f>
        <v/>
      </c>
      <c r="F78" s="46"/>
      <c r="G78" s="47"/>
      <c r="H78" s="47"/>
      <c r="I78" s="48"/>
      <c r="J78" s="48"/>
      <c r="K78" s="47"/>
      <c r="L78" s="46"/>
      <c r="P78" s="0" t="str">
        <f aca="false">IFERROR(MATCH(74,Assessment!$J$5:$J$164,0)+4,"")</f>
        <v/>
      </c>
    </row>
    <row r="79" customFormat="false" ht="33.75" hidden="false" customHeight="true" outlineLevel="0" collapsed="false">
      <c r="A79" s="42" t="str">
        <f aca="false">IF($P79="","",INDEX(Assessment!$A:$A,$P79))</f>
        <v/>
      </c>
      <c r="B79" s="42" t="str">
        <f aca="false">IF($P79="","",INDEX(Assessment!$B:$B,$P79))</f>
        <v/>
      </c>
      <c r="C79" s="43" t="str">
        <f aca="false">IF($P79="","",INDEX(Assessment!$H:$H,$P79))</f>
        <v/>
      </c>
      <c r="D79" s="44" t="str">
        <f aca="false">IF($P79="","",INDEX(Assessment!$C:$C,$P79))</f>
        <v/>
      </c>
      <c r="E79" s="45" t="str">
        <f aca="false">IF($P79="","",INDEX(Assessment!$D:$D,$P79))</f>
        <v/>
      </c>
      <c r="F79" s="46"/>
      <c r="G79" s="47"/>
      <c r="H79" s="47"/>
      <c r="I79" s="48"/>
      <c r="J79" s="48"/>
      <c r="K79" s="47"/>
      <c r="L79" s="46"/>
      <c r="P79" s="0" t="str">
        <f aca="false">IFERROR(MATCH(75,Assessment!$J$5:$J$164,0)+4,"")</f>
        <v/>
      </c>
    </row>
    <row r="80" customFormat="false" ht="33.75" hidden="false" customHeight="true" outlineLevel="0" collapsed="false">
      <c r="A80" s="42" t="str">
        <f aca="false">IF($P80="","",INDEX(Assessment!$A:$A,$P80))</f>
        <v/>
      </c>
      <c r="B80" s="42" t="str">
        <f aca="false">IF($P80="","",INDEX(Assessment!$B:$B,$P80))</f>
        <v/>
      </c>
      <c r="C80" s="43" t="str">
        <f aca="false">IF($P80="","",INDEX(Assessment!$H:$H,$P80))</f>
        <v/>
      </c>
      <c r="D80" s="44" t="str">
        <f aca="false">IF($P80="","",INDEX(Assessment!$C:$C,$P80))</f>
        <v/>
      </c>
      <c r="E80" s="45" t="str">
        <f aca="false">IF($P80="","",INDEX(Assessment!$D:$D,$P80))</f>
        <v/>
      </c>
      <c r="F80" s="46"/>
      <c r="G80" s="47"/>
      <c r="H80" s="47"/>
      <c r="I80" s="48"/>
      <c r="J80" s="48"/>
      <c r="K80" s="47"/>
      <c r="L80" s="46"/>
      <c r="P80" s="0" t="str">
        <f aca="false">IFERROR(MATCH(76,Assessment!$J$5:$J$164,0)+4,"")</f>
        <v/>
      </c>
    </row>
    <row r="81" customFormat="false" ht="33.75" hidden="false" customHeight="true" outlineLevel="0" collapsed="false">
      <c r="A81" s="42" t="str">
        <f aca="false">IF($P81="","",INDEX(Assessment!$A:$A,$P81))</f>
        <v/>
      </c>
      <c r="B81" s="42" t="str">
        <f aca="false">IF($P81="","",INDEX(Assessment!$B:$B,$P81))</f>
        <v/>
      </c>
      <c r="C81" s="43" t="str">
        <f aca="false">IF($P81="","",INDEX(Assessment!$H:$H,$P81))</f>
        <v/>
      </c>
      <c r="D81" s="44" t="str">
        <f aca="false">IF($P81="","",INDEX(Assessment!$C:$C,$P81))</f>
        <v/>
      </c>
      <c r="E81" s="45" t="str">
        <f aca="false">IF($P81="","",INDEX(Assessment!$D:$D,$P81))</f>
        <v/>
      </c>
      <c r="F81" s="46"/>
      <c r="G81" s="47"/>
      <c r="H81" s="47"/>
      <c r="I81" s="48"/>
      <c r="J81" s="48"/>
      <c r="K81" s="47"/>
      <c r="L81" s="46"/>
      <c r="P81" s="0" t="str">
        <f aca="false">IFERROR(MATCH(77,Assessment!$J$5:$J$164,0)+4,"")</f>
        <v/>
      </c>
    </row>
    <row r="82" customFormat="false" ht="33.75" hidden="false" customHeight="true" outlineLevel="0" collapsed="false">
      <c r="A82" s="42" t="str">
        <f aca="false">IF($P82="","",INDEX(Assessment!$A:$A,$P82))</f>
        <v/>
      </c>
      <c r="B82" s="42" t="str">
        <f aca="false">IF($P82="","",INDEX(Assessment!$B:$B,$P82))</f>
        <v/>
      </c>
      <c r="C82" s="43" t="str">
        <f aca="false">IF($P82="","",INDEX(Assessment!$H:$H,$P82))</f>
        <v/>
      </c>
      <c r="D82" s="44" t="str">
        <f aca="false">IF($P82="","",INDEX(Assessment!$C:$C,$P82))</f>
        <v/>
      </c>
      <c r="E82" s="45" t="str">
        <f aca="false">IF($P82="","",INDEX(Assessment!$D:$D,$P82))</f>
        <v/>
      </c>
      <c r="F82" s="46"/>
      <c r="G82" s="47"/>
      <c r="H82" s="47"/>
      <c r="I82" s="48"/>
      <c r="J82" s="48"/>
      <c r="K82" s="47"/>
      <c r="L82" s="46"/>
      <c r="P82" s="0" t="str">
        <f aca="false">IFERROR(MATCH(78,Assessment!$J$5:$J$164,0)+4,"")</f>
        <v/>
      </c>
    </row>
    <row r="83" customFormat="false" ht="33.75" hidden="false" customHeight="true" outlineLevel="0" collapsed="false">
      <c r="A83" s="42" t="str">
        <f aca="false">IF($P83="","",INDEX(Assessment!$A:$A,$P83))</f>
        <v/>
      </c>
      <c r="B83" s="42" t="str">
        <f aca="false">IF($P83="","",INDEX(Assessment!$B:$B,$P83))</f>
        <v/>
      </c>
      <c r="C83" s="43" t="str">
        <f aca="false">IF($P83="","",INDEX(Assessment!$H:$H,$P83))</f>
        <v/>
      </c>
      <c r="D83" s="44" t="str">
        <f aca="false">IF($P83="","",INDEX(Assessment!$C:$C,$P83))</f>
        <v/>
      </c>
      <c r="E83" s="45" t="str">
        <f aca="false">IF($P83="","",INDEX(Assessment!$D:$D,$P83))</f>
        <v/>
      </c>
      <c r="F83" s="46"/>
      <c r="G83" s="47"/>
      <c r="H83" s="47"/>
      <c r="I83" s="48"/>
      <c r="J83" s="48"/>
      <c r="K83" s="47"/>
      <c r="L83" s="46"/>
      <c r="P83" s="0" t="str">
        <f aca="false">IFERROR(MATCH(79,Assessment!$J$5:$J$164,0)+4,"")</f>
        <v/>
      </c>
    </row>
    <row r="84" customFormat="false" ht="33.75" hidden="false" customHeight="true" outlineLevel="0" collapsed="false">
      <c r="A84" s="42" t="str">
        <f aca="false">IF($P84="","",INDEX(Assessment!$A:$A,$P84))</f>
        <v/>
      </c>
      <c r="B84" s="42" t="str">
        <f aca="false">IF($P84="","",INDEX(Assessment!$B:$B,$P84))</f>
        <v/>
      </c>
      <c r="C84" s="43" t="str">
        <f aca="false">IF($P84="","",INDEX(Assessment!$H:$H,$P84))</f>
        <v/>
      </c>
      <c r="D84" s="44" t="str">
        <f aca="false">IF($P84="","",INDEX(Assessment!$C:$C,$P84))</f>
        <v/>
      </c>
      <c r="E84" s="45" t="str">
        <f aca="false">IF($P84="","",INDEX(Assessment!$D:$D,$P84))</f>
        <v/>
      </c>
      <c r="F84" s="46"/>
      <c r="G84" s="47"/>
      <c r="H84" s="47"/>
      <c r="I84" s="48"/>
      <c r="J84" s="48"/>
      <c r="K84" s="47"/>
      <c r="L84" s="46"/>
      <c r="P84" s="0" t="str">
        <f aca="false">IFERROR(MATCH(80,Assessment!$J$5:$J$164,0)+4,"")</f>
        <v/>
      </c>
    </row>
    <row r="85" customFormat="false" ht="33.75" hidden="false" customHeight="true" outlineLevel="0" collapsed="false">
      <c r="A85" s="42" t="str">
        <f aca="false">IF($P85="","",INDEX(Assessment!$A:$A,$P85))</f>
        <v/>
      </c>
      <c r="B85" s="42" t="str">
        <f aca="false">IF($P85="","",INDEX(Assessment!$B:$B,$P85))</f>
        <v/>
      </c>
      <c r="C85" s="43" t="str">
        <f aca="false">IF($P85="","",INDEX(Assessment!$H:$H,$P85))</f>
        <v/>
      </c>
      <c r="D85" s="44" t="str">
        <f aca="false">IF($P85="","",INDEX(Assessment!$C:$C,$P85))</f>
        <v/>
      </c>
      <c r="E85" s="45" t="str">
        <f aca="false">IF($P85="","",INDEX(Assessment!$D:$D,$P85))</f>
        <v/>
      </c>
      <c r="F85" s="46"/>
      <c r="G85" s="47"/>
      <c r="H85" s="47"/>
      <c r="I85" s="48"/>
      <c r="J85" s="48"/>
      <c r="K85" s="47"/>
      <c r="L85" s="46"/>
      <c r="P85" s="0" t="str">
        <f aca="false">IFERROR(MATCH(81,Assessment!$J$5:$J$164,0)+4,"")</f>
        <v/>
      </c>
    </row>
    <row r="86" customFormat="false" ht="33.75" hidden="false" customHeight="true" outlineLevel="0" collapsed="false">
      <c r="A86" s="42" t="str">
        <f aca="false">IF($P86="","",INDEX(Assessment!$A:$A,$P86))</f>
        <v/>
      </c>
      <c r="B86" s="42" t="str">
        <f aca="false">IF($P86="","",INDEX(Assessment!$B:$B,$P86))</f>
        <v/>
      </c>
      <c r="C86" s="43" t="str">
        <f aca="false">IF($P86="","",INDEX(Assessment!$H:$H,$P86))</f>
        <v/>
      </c>
      <c r="D86" s="44" t="str">
        <f aca="false">IF($P86="","",INDEX(Assessment!$C:$C,$P86))</f>
        <v/>
      </c>
      <c r="E86" s="45" t="str">
        <f aca="false">IF($P86="","",INDEX(Assessment!$D:$D,$P86))</f>
        <v/>
      </c>
      <c r="F86" s="46"/>
      <c r="G86" s="47"/>
      <c r="H86" s="47"/>
      <c r="I86" s="48"/>
      <c r="J86" s="48"/>
      <c r="K86" s="47"/>
      <c r="L86" s="46"/>
      <c r="P86" s="0" t="str">
        <f aca="false">IFERROR(MATCH(82,Assessment!$J$5:$J$164,0)+4,"")</f>
        <v/>
      </c>
    </row>
    <row r="87" customFormat="false" ht="33.75" hidden="false" customHeight="true" outlineLevel="0" collapsed="false">
      <c r="A87" s="42" t="str">
        <f aca="false">IF($P87="","",INDEX(Assessment!$A:$A,$P87))</f>
        <v/>
      </c>
      <c r="B87" s="42" t="str">
        <f aca="false">IF($P87="","",INDEX(Assessment!$B:$B,$P87))</f>
        <v/>
      </c>
      <c r="C87" s="43" t="str">
        <f aca="false">IF($P87="","",INDEX(Assessment!$H:$H,$P87))</f>
        <v/>
      </c>
      <c r="D87" s="44" t="str">
        <f aca="false">IF($P87="","",INDEX(Assessment!$C:$C,$P87))</f>
        <v/>
      </c>
      <c r="E87" s="45" t="str">
        <f aca="false">IF($P87="","",INDEX(Assessment!$D:$D,$P87))</f>
        <v/>
      </c>
      <c r="F87" s="46"/>
      <c r="G87" s="47"/>
      <c r="H87" s="47"/>
      <c r="I87" s="48"/>
      <c r="J87" s="48"/>
      <c r="K87" s="47"/>
      <c r="L87" s="46"/>
      <c r="P87" s="0" t="str">
        <f aca="false">IFERROR(MATCH(83,Assessment!$J$5:$J$164,0)+4,"")</f>
        <v/>
      </c>
    </row>
    <row r="88" customFormat="false" ht="33.75" hidden="false" customHeight="true" outlineLevel="0" collapsed="false">
      <c r="A88" s="42" t="str">
        <f aca="false">IF($P88="","",INDEX(Assessment!$A:$A,$P88))</f>
        <v/>
      </c>
      <c r="B88" s="42" t="str">
        <f aca="false">IF($P88="","",INDEX(Assessment!$B:$B,$P88))</f>
        <v/>
      </c>
      <c r="C88" s="43" t="str">
        <f aca="false">IF($P88="","",INDEX(Assessment!$H:$H,$P88))</f>
        <v/>
      </c>
      <c r="D88" s="44" t="str">
        <f aca="false">IF($P88="","",INDEX(Assessment!$C:$C,$P88))</f>
        <v/>
      </c>
      <c r="E88" s="45" t="str">
        <f aca="false">IF($P88="","",INDEX(Assessment!$D:$D,$P88))</f>
        <v/>
      </c>
      <c r="F88" s="46"/>
      <c r="G88" s="47"/>
      <c r="H88" s="47"/>
      <c r="I88" s="48"/>
      <c r="J88" s="48"/>
      <c r="K88" s="47"/>
      <c r="L88" s="46"/>
      <c r="P88" s="0" t="str">
        <f aca="false">IFERROR(MATCH(84,Assessment!$J$5:$J$164,0)+4,"")</f>
        <v/>
      </c>
    </row>
    <row r="89" customFormat="false" ht="33.75" hidden="false" customHeight="true" outlineLevel="0" collapsed="false">
      <c r="A89" s="42" t="str">
        <f aca="false">IF($P89="","",INDEX(Assessment!$A:$A,$P89))</f>
        <v/>
      </c>
      <c r="B89" s="42" t="str">
        <f aca="false">IF($P89="","",INDEX(Assessment!$B:$B,$P89))</f>
        <v/>
      </c>
      <c r="C89" s="43" t="str">
        <f aca="false">IF($P89="","",INDEX(Assessment!$H:$H,$P89))</f>
        <v/>
      </c>
      <c r="D89" s="44" t="str">
        <f aca="false">IF($P89="","",INDEX(Assessment!$C:$C,$P89))</f>
        <v/>
      </c>
      <c r="E89" s="45" t="str">
        <f aca="false">IF($P89="","",INDEX(Assessment!$D:$D,$P89))</f>
        <v/>
      </c>
      <c r="F89" s="46"/>
      <c r="G89" s="47"/>
      <c r="H89" s="47"/>
      <c r="I89" s="48"/>
      <c r="J89" s="48"/>
      <c r="K89" s="47"/>
      <c r="L89" s="46"/>
      <c r="P89" s="0" t="str">
        <f aca="false">IFERROR(MATCH(85,Assessment!$J$5:$J$164,0)+4,"")</f>
        <v/>
      </c>
    </row>
    <row r="90" customFormat="false" ht="33.75" hidden="false" customHeight="true" outlineLevel="0" collapsed="false">
      <c r="A90" s="42" t="str">
        <f aca="false">IF($P90="","",INDEX(Assessment!$A:$A,$P90))</f>
        <v/>
      </c>
      <c r="B90" s="42" t="str">
        <f aca="false">IF($P90="","",INDEX(Assessment!$B:$B,$P90))</f>
        <v/>
      </c>
      <c r="C90" s="43" t="str">
        <f aca="false">IF($P90="","",INDEX(Assessment!$H:$H,$P90))</f>
        <v/>
      </c>
      <c r="D90" s="44" t="str">
        <f aca="false">IF($P90="","",INDEX(Assessment!$C:$C,$P90))</f>
        <v/>
      </c>
      <c r="E90" s="45" t="str">
        <f aca="false">IF($P90="","",INDEX(Assessment!$D:$D,$P90))</f>
        <v/>
      </c>
      <c r="F90" s="46"/>
      <c r="G90" s="47"/>
      <c r="H90" s="47"/>
      <c r="I90" s="48"/>
      <c r="J90" s="48"/>
      <c r="K90" s="47"/>
      <c r="L90" s="46"/>
      <c r="P90" s="0" t="str">
        <f aca="false">IFERROR(MATCH(86,Assessment!$J$5:$J$164,0)+4,"")</f>
        <v/>
      </c>
    </row>
    <row r="91" customFormat="false" ht="33.75" hidden="false" customHeight="true" outlineLevel="0" collapsed="false">
      <c r="A91" s="42" t="str">
        <f aca="false">IF($P91="","",INDEX(Assessment!$A:$A,$P91))</f>
        <v/>
      </c>
      <c r="B91" s="42" t="str">
        <f aca="false">IF($P91="","",INDEX(Assessment!$B:$B,$P91))</f>
        <v/>
      </c>
      <c r="C91" s="43" t="str">
        <f aca="false">IF($P91="","",INDEX(Assessment!$H:$H,$P91))</f>
        <v/>
      </c>
      <c r="D91" s="44" t="str">
        <f aca="false">IF($P91="","",INDEX(Assessment!$C:$C,$P91))</f>
        <v/>
      </c>
      <c r="E91" s="45" t="str">
        <f aca="false">IF($P91="","",INDEX(Assessment!$D:$D,$P91))</f>
        <v/>
      </c>
      <c r="F91" s="46"/>
      <c r="G91" s="47"/>
      <c r="H91" s="47"/>
      <c r="I91" s="48"/>
      <c r="J91" s="48"/>
      <c r="K91" s="47"/>
      <c r="L91" s="46"/>
      <c r="P91" s="0" t="str">
        <f aca="false">IFERROR(MATCH(87,Assessment!$J$5:$J$164,0)+4,"")</f>
        <v/>
      </c>
    </row>
    <row r="92" customFormat="false" ht="33.75" hidden="false" customHeight="true" outlineLevel="0" collapsed="false">
      <c r="A92" s="42" t="str">
        <f aca="false">IF($P92="","",INDEX(Assessment!$A:$A,$P92))</f>
        <v/>
      </c>
      <c r="B92" s="42" t="str">
        <f aca="false">IF($P92="","",INDEX(Assessment!$B:$B,$P92))</f>
        <v/>
      </c>
      <c r="C92" s="43" t="str">
        <f aca="false">IF($P92="","",INDEX(Assessment!$H:$H,$P92))</f>
        <v/>
      </c>
      <c r="D92" s="44" t="str">
        <f aca="false">IF($P92="","",INDEX(Assessment!$C:$C,$P92))</f>
        <v/>
      </c>
      <c r="E92" s="45" t="str">
        <f aca="false">IF($P92="","",INDEX(Assessment!$D:$D,$P92))</f>
        <v/>
      </c>
      <c r="F92" s="46"/>
      <c r="G92" s="47"/>
      <c r="H92" s="47"/>
      <c r="I92" s="48"/>
      <c r="J92" s="48"/>
      <c r="K92" s="47"/>
      <c r="L92" s="46"/>
      <c r="P92" s="0" t="str">
        <f aca="false">IFERROR(MATCH(88,Assessment!$J$5:$J$164,0)+4,"")</f>
        <v/>
      </c>
    </row>
    <row r="93" customFormat="false" ht="33.75" hidden="false" customHeight="true" outlineLevel="0" collapsed="false">
      <c r="A93" s="42" t="str">
        <f aca="false">IF($P93="","",INDEX(Assessment!$A:$A,$P93))</f>
        <v/>
      </c>
      <c r="B93" s="42" t="str">
        <f aca="false">IF($P93="","",INDEX(Assessment!$B:$B,$P93))</f>
        <v/>
      </c>
      <c r="C93" s="43" t="str">
        <f aca="false">IF($P93="","",INDEX(Assessment!$H:$H,$P93))</f>
        <v/>
      </c>
      <c r="D93" s="44" t="str">
        <f aca="false">IF($P93="","",INDEX(Assessment!$C:$C,$P93))</f>
        <v/>
      </c>
      <c r="E93" s="45" t="str">
        <f aca="false">IF($P93="","",INDEX(Assessment!$D:$D,$P93))</f>
        <v/>
      </c>
      <c r="F93" s="46"/>
      <c r="G93" s="47"/>
      <c r="H93" s="47"/>
      <c r="I93" s="48"/>
      <c r="J93" s="48"/>
      <c r="K93" s="47"/>
      <c r="L93" s="46"/>
      <c r="P93" s="0" t="str">
        <f aca="false">IFERROR(MATCH(89,Assessment!$J$5:$J$164,0)+4,"")</f>
        <v/>
      </c>
    </row>
    <row r="94" customFormat="false" ht="33.75" hidden="false" customHeight="true" outlineLevel="0" collapsed="false">
      <c r="A94" s="42" t="str">
        <f aca="false">IF($P94="","",INDEX(Assessment!$A:$A,$P94))</f>
        <v/>
      </c>
      <c r="B94" s="42" t="str">
        <f aca="false">IF($P94="","",INDEX(Assessment!$B:$B,$P94))</f>
        <v/>
      </c>
      <c r="C94" s="43" t="str">
        <f aca="false">IF($P94="","",INDEX(Assessment!$H:$H,$P94))</f>
        <v/>
      </c>
      <c r="D94" s="44" t="str">
        <f aca="false">IF($P94="","",INDEX(Assessment!$C:$C,$P94))</f>
        <v/>
      </c>
      <c r="E94" s="45" t="str">
        <f aca="false">IF($P94="","",INDEX(Assessment!$D:$D,$P94))</f>
        <v/>
      </c>
      <c r="F94" s="46"/>
      <c r="G94" s="47"/>
      <c r="H94" s="47"/>
      <c r="I94" s="48"/>
      <c r="J94" s="48"/>
      <c r="K94" s="47"/>
      <c r="L94" s="46"/>
      <c r="P94" s="0" t="str">
        <f aca="false">IFERROR(MATCH(90,Assessment!$J$5:$J$164,0)+4,"")</f>
        <v/>
      </c>
    </row>
    <row r="95" customFormat="false" ht="33.75" hidden="false" customHeight="true" outlineLevel="0" collapsed="false">
      <c r="A95" s="42" t="str">
        <f aca="false">IF($P95="","",INDEX(Assessment!$A:$A,$P95))</f>
        <v/>
      </c>
      <c r="B95" s="42" t="str">
        <f aca="false">IF($P95="","",INDEX(Assessment!$B:$B,$P95))</f>
        <v/>
      </c>
      <c r="C95" s="43" t="str">
        <f aca="false">IF($P95="","",INDEX(Assessment!$H:$H,$P95))</f>
        <v/>
      </c>
      <c r="D95" s="44" t="str">
        <f aca="false">IF($P95="","",INDEX(Assessment!$C:$C,$P95))</f>
        <v/>
      </c>
      <c r="E95" s="45" t="str">
        <f aca="false">IF($P95="","",INDEX(Assessment!$D:$D,$P95))</f>
        <v/>
      </c>
      <c r="F95" s="46"/>
      <c r="G95" s="47"/>
      <c r="H95" s="47"/>
      <c r="I95" s="48"/>
      <c r="J95" s="48"/>
      <c r="K95" s="47"/>
      <c r="L95" s="46"/>
      <c r="P95" s="0" t="str">
        <f aca="false">IFERROR(MATCH(91,Assessment!$J$5:$J$164,0)+4,"")</f>
        <v/>
      </c>
    </row>
    <row r="96" customFormat="false" ht="33.75" hidden="false" customHeight="true" outlineLevel="0" collapsed="false">
      <c r="A96" s="42" t="str">
        <f aca="false">IF($P96="","",INDEX(Assessment!$A:$A,$P96))</f>
        <v/>
      </c>
      <c r="B96" s="42" t="str">
        <f aca="false">IF($P96="","",INDEX(Assessment!$B:$B,$P96))</f>
        <v/>
      </c>
      <c r="C96" s="43" t="str">
        <f aca="false">IF($P96="","",INDEX(Assessment!$H:$H,$P96))</f>
        <v/>
      </c>
      <c r="D96" s="44" t="str">
        <f aca="false">IF($P96="","",INDEX(Assessment!$C:$C,$P96))</f>
        <v/>
      </c>
      <c r="E96" s="45" t="str">
        <f aca="false">IF($P96="","",INDEX(Assessment!$D:$D,$P96))</f>
        <v/>
      </c>
      <c r="F96" s="46"/>
      <c r="G96" s="47"/>
      <c r="H96" s="47"/>
      <c r="I96" s="48"/>
      <c r="J96" s="48"/>
      <c r="K96" s="47"/>
      <c r="L96" s="46"/>
      <c r="P96" s="0" t="str">
        <f aca="false">IFERROR(MATCH(92,Assessment!$J$5:$J$164,0)+4,"")</f>
        <v/>
      </c>
    </row>
    <row r="97" customFormat="false" ht="33.75" hidden="false" customHeight="true" outlineLevel="0" collapsed="false">
      <c r="A97" s="42" t="str">
        <f aca="false">IF($P97="","",INDEX(Assessment!$A:$A,$P97))</f>
        <v/>
      </c>
      <c r="B97" s="42" t="str">
        <f aca="false">IF($P97="","",INDEX(Assessment!$B:$B,$P97))</f>
        <v/>
      </c>
      <c r="C97" s="43" t="str">
        <f aca="false">IF($P97="","",INDEX(Assessment!$H:$H,$P97))</f>
        <v/>
      </c>
      <c r="D97" s="44" t="str">
        <f aca="false">IF($P97="","",INDEX(Assessment!$C:$C,$P97))</f>
        <v/>
      </c>
      <c r="E97" s="45" t="str">
        <f aca="false">IF($P97="","",INDEX(Assessment!$D:$D,$P97))</f>
        <v/>
      </c>
      <c r="F97" s="46"/>
      <c r="G97" s="47"/>
      <c r="H97" s="47"/>
      <c r="I97" s="48"/>
      <c r="J97" s="48"/>
      <c r="K97" s="47"/>
      <c r="L97" s="46"/>
      <c r="P97" s="0" t="str">
        <f aca="false">IFERROR(MATCH(93,Assessment!$J$5:$J$164,0)+4,"")</f>
        <v/>
      </c>
    </row>
    <row r="98" customFormat="false" ht="33.75" hidden="false" customHeight="true" outlineLevel="0" collapsed="false">
      <c r="A98" s="42" t="str">
        <f aca="false">IF($P98="","",INDEX(Assessment!$A:$A,$P98))</f>
        <v/>
      </c>
      <c r="B98" s="42" t="str">
        <f aca="false">IF($P98="","",INDEX(Assessment!$B:$B,$P98))</f>
        <v/>
      </c>
      <c r="C98" s="43" t="str">
        <f aca="false">IF($P98="","",INDEX(Assessment!$H:$H,$P98))</f>
        <v/>
      </c>
      <c r="D98" s="44" t="str">
        <f aca="false">IF($P98="","",INDEX(Assessment!$C:$C,$P98))</f>
        <v/>
      </c>
      <c r="E98" s="45" t="str">
        <f aca="false">IF($P98="","",INDEX(Assessment!$D:$D,$P98))</f>
        <v/>
      </c>
      <c r="F98" s="46"/>
      <c r="G98" s="47"/>
      <c r="H98" s="47"/>
      <c r="I98" s="48"/>
      <c r="J98" s="48"/>
      <c r="K98" s="47"/>
      <c r="L98" s="46"/>
      <c r="P98" s="0" t="str">
        <f aca="false">IFERROR(MATCH(94,Assessment!$J$5:$J$164,0)+4,"")</f>
        <v/>
      </c>
    </row>
    <row r="99" customFormat="false" ht="33.75" hidden="false" customHeight="true" outlineLevel="0" collapsed="false">
      <c r="A99" s="42" t="str">
        <f aca="false">IF($P99="","",INDEX(Assessment!$A:$A,$P99))</f>
        <v/>
      </c>
      <c r="B99" s="42" t="str">
        <f aca="false">IF($P99="","",INDEX(Assessment!$B:$B,$P99))</f>
        <v/>
      </c>
      <c r="C99" s="43" t="str">
        <f aca="false">IF($P99="","",INDEX(Assessment!$H:$H,$P99))</f>
        <v/>
      </c>
      <c r="D99" s="44" t="str">
        <f aca="false">IF($P99="","",INDEX(Assessment!$C:$C,$P99))</f>
        <v/>
      </c>
      <c r="E99" s="45" t="str">
        <f aca="false">IF($P99="","",INDEX(Assessment!$D:$D,$P99))</f>
        <v/>
      </c>
      <c r="F99" s="46"/>
      <c r="G99" s="47"/>
      <c r="H99" s="47"/>
      <c r="I99" s="48"/>
      <c r="J99" s="48"/>
      <c r="K99" s="47"/>
      <c r="L99" s="46"/>
      <c r="P99" s="0" t="str">
        <f aca="false">IFERROR(MATCH(95,Assessment!$J$5:$J$164,0)+4,"")</f>
        <v/>
      </c>
    </row>
    <row r="100" customFormat="false" ht="33.75" hidden="false" customHeight="true" outlineLevel="0" collapsed="false">
      <c r="A100" s="42" t="str">
        <f aca="false">IF($P100="","",INDEX(Assessment!$A:$A,$P100))</f>
        <v/>
      </c>
      <c r="B100" s="42" t="str">
        <f aca="false">IF($P100="","",INDEX(Assessment!$B:$B,$P100))</f>
        <v/>
      </c>
      <c r="C100" s="43" t="str">
        <f aca="false">IF($P100="","",INDEX(Assessment!$H:$H,$P100))</f>
        <v/>
      </c>
      <c r="D100" s="44" t="str">
        <f aca="false">IF($P100="","",INDEX(Assessment!$C:$C,$P100))</f>
        <v/>
      </c>
      <c r="E100" s="45" t="str">
        <f aca="false">IF($P100="","",INDEX(Assessment!$D:$D,$P100))</f>
        <v/>
      </c>
      <c r="F100" s="46"/>
      <c r="G100" s="47"/>
      <c r="H100" s="47"/>
      <c r="I100" s="48"/>
      <c r="J100" s="48"/>
      <c r="K100" s="47"/>
      <c r="L100" s="46"/>
      <c r="P100" s="0" t="str">
        <f aca="false">IFERROR(MATCH(96,Assessment!$J$5:$J$164,0)+4,"")</f>
        <v/>
      </c>
    </row>
    <row r="101" customFormat="false" ht="33.75" hidden="false" customHeight="true" outlineLevel="0" collapsed="false">
      <c r="A101" s="42" t="str">
        <f aca="false">IF($P101="","",INDEX(Assessment!$A:$A,$P101))</f>
        <v/>
      </c>
      <c r="B101" s="42" t="str">
        <f aca="false">IF($P101="","",INDEX(Assessment!$B:$B,$P101))</f>
        <v/>
      </c>
      <c r="C101" s="43" t="str">
        <f aca="false">IF($P101="","",INDEX(Assessment!$H:$H,$P101))</f>
        <v/>
      </c>
      <c r="D101" s="44" t="str">
        <f aca="false">IF($P101="","",INDEX(Assessment!$C:$C,$P101))</f>
        <v/>
      </c>
      <c r="E101" s="45" t="str">
        <f aca="false">IF($P101="","",INDEX(Assessment!$D:$D,$P101))</f>
        <v/>
      </c>
      <c r="F101" s="46"/>
      <c r="G101" s="47"/>
      <c r="H101" s="47"/>
      <c r="I101" s="48"/>
      <c r="J101" s="48"/>
      <c r="K101" s="47"/>
      <c r="L101" s="46"/>
      <c r="P101" s="0" t="str">
        <f aca="false">IFERROR(MATCH(97,Assessment!$J$5:$J$164,0)+4,"")</f>
        <v/>
      </c>
    </row>
    <row r="102" customFormat="false" ht="33.75" hidden="false" customHeight="true" outlineLevel="0" collapsed="false">
      <c r="A102" s="42" t="str">
        <f aca="false">IF($P102="","",INDEX(Assessment!$A:$A,$P102))</f>
        <v/>
      </c>
      <c r="B102" s="42" t="str">
        <f aca="false">IF($P102="","",INDEX(Assessment!$B:$B,$P102))</f>
        <v/>
      </c>
      <c r="C102" s="43" t="str">
        <f aca="false">IF($P102="","",INDEX(Assessment!$H:$H,$P102))</f>
        <v/>
      </c>
      <c r="D102" s="44" t="str">
        <f aca="false">IF($P102="","",INDEX(Assessment!$C:$C,$P102))</f>
        <v/>
      </c>
      <c r="E102" s="45" t="str">
        <f aca="false">IF($P102="","",INDEX(Assessment!$D:$D,$P102))</f>
        <v/>
      </c>
      <c r="F102" s="46"/>
      <c r="G102" s="47"/>
      <c r="H102" s="47"/>
      <c r="I102" s="48"/>
      <c r="J102" s="48"/>
      <c r="K102" s="47"/>
      <c r="L102" s="46"/>
      <c r="P102" s="0" t="str">
        <f aca="false">IFERROR(MATCH(98,Assessment!$J$5:$J$164,0)+4,"")</f>
        <v/>
      </c>
    </row>
    <row r="103" customFormat="false" ht="33.75" hidden="false" customHeight="true" outlineLevel="0" collapsed="false">
      <c r="A103" s="42" t="str">
        <f aca="false">IF($P103="","",INDEX(Assessment!$A:$A,$P103))</f>
        <v/>
      </c>
      <c r="B103" s="42" t="str">
        <f aca="false">IF($P103="","",INDEX(Assessment!$B:$B,$P103))</f>
        <v/>
      </c>
      <c r="C103" s="43" t="str">
        <f aca="false">IF($P103="","",INDEX(Assessment!$H:$H,$P103))</f>
        <v/>
      </c>
      <c r="D103" s="44" t="str">
        <f aca="false">IF($P103="","",INDEX(Assessment!$C:$C,$P103))</f>
        <v/>
      </c>
      <c r="E103" s="45" t="str">
        <f aca="false">IF($P103="","",INDEX(Assessment!$D:$D,$P103))</f>
        <v/>
      </c>
      <c r="F103" s="46"/>
      <c r="G103" s="47"/>
      <c r="H103" s="47"/>
      <c r="I103" s="48"/>
      <c r="J103" s="48"/>
      <c r="K103" s="47"/>
      <c r="L103" s="46"/>
      <c r="P103" s="0" t="str">
        <f aca="false">IFERROR(MATCH(99,Assessment!$J$5:$J$164,0)+4,"")</f>
        <v/>
      </c>
    </row>
    <row r="104" customFormat="false" ht="33.75" hidden="false" customHeight="true" outlineLevel="0" collapsed="false">
      <c r="A104" s="42" t="str">
        <f aca="false">IF($P104="","",INDEX(Assessment!$A:$A,$P104))</f>
        <v/>
      </c>
      <c r="B104" s="42" t="str">
        <f aca="false">IF($P104="","",INDEX(Assessment!$B:$B,$P104))</f>
        <v/>
      </c>
      <c r="C104" s="43" t="str">
        <f aca="false">IF($P104="","",INDEX(Assessment!$H:$H,$P104))</f>
        <v/>
      </c>
      <c r="D104" s="44" t="str">
        <f aca="false">IF($P104="","",INDEX(Assessment!$C:$C,$P104))</f>
        <v/>
      </c>
      <c r="E104" s="45" t="str">
        <f aca="false">IF($P104="","",INDEX(Assessment!$D:$D,$P104))</f>
        <v/>
      </c>
      <c r="F104" s="46"/>
      <c r="G104" s="47"/>
      <c r="H104" s="47"/>
      <c r="I104" s="48"/>
      <c r="J104" s="48"/>
      <c r="K104" s="47"/>
      <c r="L104" s="46"/>
      <c r="P104" s="0" t="str">
        <f aca="false">IFERROR(MATCH(100,Assessment!$J$5:$J$164,0)+4,"")</f>
        <v/>
      </c>
    </row>
    <row r="105" customFormat="false" ht="33.75" hidden="false" customHeight="true" outlineLevel="0" collapsed="false">
      <c r="A105" s="42" t="str">
        <f aca="false">IF($P105="","",INDEX(Assessment!$A:$A,$P105))</f>
        <v/>
      </c>
      <c r="B105" s="42" t="str">
        <f aca="false">IF($P105="","",INDEX(Assessment!$B:$B,$P105))</f>
        <v/>
      </c>
      <c r="C105" s="43" t="str">
        <f aca="false">IF($P105="","",INDEX(Assessment!$H:$H,$P105))</f>
        <v/>
      </c>
      <c r="D105" s="44" t="str">
        <f aca="false">IF($P105="","",INDEX(Assessment!$C:$C,$P105))</f>
        <v/>
      </c>
      <c r="E105" s="45" t="str">
        <f aca="false">IF($P105="","",INDEX(Assessment!$D:$D,$P105))</f>
        <v/>
      </c>
      <c r="F105" s="46"/>
      <c r="G105" s="47"/>
      <c r="H105" s="47"/>
      <c r="I105" s="48"/>
      <c r="J105" s="48"/>
      <c r="K105" s="47"/>
      <c r="L105" s="46"/>
      <c r="P105" s="0" t="str">
        <f aca="false">IFERROR(MATCH(101,Assessment!$J$5:$J$164,0)+4,"")</f>
        <v/>
      </c>
    </row>
    <row r="106" customFormat="false" ht="33.75" hidden="false" customHeight="true" outlineLevel="0" collapsed="false">
      <c r="A106" s="42" t="str">
        <f aca="false">IF($P106="","",INDEX(Assessment!$A:$A,$P106))</f>
        <v/>
      </c>
      <c r="B106" s="42" t="str">
        <f aca="false">IF($P106="","",INDEX(Assessment!$B:$B,$P106))</f>
        <v/>
      </c>
      <c r="C106" s="43" t="str">
        <f aca="false">IF($P106="","",INDEX(Assessment!$H:$H,$P106))</f>
        <v/>
      </c>
      <c r="D106" s="44" t="str">
        <f aca="false">IF($P106="","",INDEX(Assessment!$C:$C,$P106))</f>
        <v/>
      </c>
      <c r="E106" s="45" t="str">
        <f aca="false">IF($P106="","",INDEX(Assessment!$D:$D,$P106))</f>
        <v/>
      </c>
      <c r="F106" s="46"/>
      <c r="G106" s="47"/>
      <c r="H106" s="47"/>
      <c r="I106" s="48"/>
      <c r="J106" s="48"/>
      <c r="K106" s="47"/>
      <c r="L106" s="46"/>
      <c r="P106" s="0" t="str">
        <f aca="false">IFERROR(MATCH(102,Assessment!$J$5:$J$164,0)+4,"")</f>
        <v/>
      </c>
    </row>
    <row r="107" customFormat="false" ht="33.75" hidden="false" customHeight="true" outlineLevel="0" collapsed="false">
      <c r="A107" s="42" t="str">
        <f aca="false">IF($P107="","",INDEX(Assessment!$A:$A,$P107))</f>
        <v/>
      </c>
      <c r="B107" s="42" t="str">
        <f aca="false">IF($P107="","",INDEX(Assessment!$B:$B,$P107))</f>
        <v/>
      </c>
      <c r="C107" s="43" t="str">
        <f aca="false">IF($P107="","",INDEX(Assessment!$H:$H,$P107))</f>
        <v/>
      </c>
      <c r="D107" s="44" t="str">
        <f aca="false">IF($P107="","",INDEX(Assessment!$C:$C,$P107))</f>
        <v/>
      </c>
      <c r="E107" s="45" t="str">
        <f aca="false">IF($P107="","",INDEX(Assessment!$D:$D,$P107))</f>
        <v/>
      </c>
      <c r="F107" s="46"/>
      <c r="G107" s="47"/>
      <c r="H107" s="47"/>
      <c r="I107" s="48"/>
      <c r="J107" s="48"/>
      <c r="K107" s="47"/>
      <c r="L107" s="46"/>
      <c r="P107" s="0" t="str">
        <f aca="false">IFERROR(MATCH(103,Assessment!$J$5:$J$164,0)+4,"")</f>
        <v/>
      </c>
    </row>
    <row r="108" customFormat="false" ht="33.75" hidden="false" customHeight="true" outlineLevel="0" collapsed="false">
      <c r="A108" s="42" t="str">
        <f aca="false">IF($P108="","",INDEX(Assessment!$A:$A,$P108))</f>
        <v/>
      </c>
      <c r="B108" s="42" t="str">
        <f aca="false">IF($P108="","",INDEX(Assessment!$B:$B,$P108))</f>
        <v/>
      </c>
      <c r="C108" s="43" t="str">
        <f aca="false">IF($P108="","",INDEX(Assessment!$H:$H,$P108))</f>
        <v/>
      </c>
      <c r="D108" s="44" t="str">
        <f aca="false">IF($P108="","",INDEX(Assessment!$C:$C,$P108))</f>
        <v/>
      </c>
      <c r="E108" s="45" t="str">
        <f aca="false">IF($P108="","",INDEX(Assessment!$D:$D,$P108))</f>
        <v/>
      </c>
      <c r="F108" s="46"/>
      <c r="G108" s="47"/>
      <c r="H108" s="47"/>
      <c r="I108" s="48"/>
      <c r="J108" s="48"/>
      <c r="K108" s="47"/>
      <c r="L108" s="46"/>
      <c r="P108" s="0" t="str">
        <f aca="false">IFERROR(MATCH(104,Assessment!$J$5:$J$164,0)+4,"")</f>
        <v/>
      </c>
    </row>
    <row r="109" customFormat="false" ht="33.75" hidden="false" customHeight="true" outlineLevel="0" collapsed="false">
      <c r="A109" s="42" t="str">
        <f aca="false">IF($P109="","",INDEX(Assessment!$A:$A,$P109))</f>
        <v/>
      </c>
      <c r="B109" s="42" t="str">
        <f aca="false">IF($P109="","",INDEX(Assessment!$B:$B,$P109))</f>
        <v/>
      </c>
      <c r="C109" s="43" t="str">
        <f aca="false">IF($P109="","",INDEX(Assessment!$H:$H,$P109))</f>
        <v/>
      </c>
      <c r="D109" s="44" t="str">
        <f aca="false">IF($P109="","",INDEX(Assessment!$C:$C,$P109))</f>
        <v/>
      </c>
      <c r="E109" s="45" t="str">
        <f aca="false">IF($P109="","",INDEX(Assessment!$D:$D,$P109))</f>
        <v/>
      </c>
      <c r="F109" s="46"/>
      <c r="G109" s="47"/>
      <c r="H109" s="47"/>
      <c r="I109" s="48"/>
      <c r="J109" s="48"/>
      <c r="K109" s="47"/>
      <c r="L109" s="46"/>
      <c r="P109" s="0" t="str">
        <f aca="false">IFERROR(MATCH(105,Assessment!$J$5:$J$164,0)+4,"")</f>
        <v/>
      </c>
    </row>
    <row r="110" customFormat="false" ht="33.75" hidden="false" customHeight="true" outlineLevel="0" collapsed="false">
      <c r="A110" s="42" t="str">
        <f aca="false">IF($P110="","",INDEX(Assessment!$A:$A,$P110))</f>
        <v/>
      </c>
      <c r="B110" s="42" t="str">
        <f aca="false">IF($P110="","",INDEX(Assessment!$B:$B,$P110))</f>
        <v/>
      </c>
      <c r="C110" s="43" t="str">
        <f aca="false">IF($P110="","",INDEX(Assessment!$H:$H,$P110))</f>
        <v/>
      </c>
      <c r="D110" s="44" t="str">
        <f aca="false">IF($P110="","",INDEX(Assessment!$C:$C,$P110))</f>
        <v/>
      </c>
      <c r="E110" s="45" t="str">
        <f aca="false">IF($P110="","",INDEX(Assessment!$D:$D,$P110))</f>
        <v/>
      </c>
      <c r="F110" s="46"/>
      <c r="G110" s="47"/>
      <c r="H110" s="47"/>
      <c r="I110" s="48"/>
      <c r="J110" s="48"/>
      <c r="K110" s="47"/>
      <c r="L110" s="46"/>
      <c r="P110" s="0" t="str">
        <f aca="false">IFERROR(MATCH(106,Assessment!$J$5:$J$164,0)+4,"")</f>
        <v/>
      </c>
    </row>
    <row r="111" customFormat="false" ht="33.75" hidden="false" customHeight="true" outlineLevel="0" collapsed="false">
      <c r="A111" s="42" t="str">
        <f aca="false">IF($P111="","",INDEX(Assessment!$A:$A,$P111))</f>
        <v/>
      </c>
      <c r="B111" s="42" t="str">
        <f aca="false">IF($P111="","",INDEX(Assessment!$B:$B,$P111))</f>
        <v/>
      </c>
      <c r="C111" s="43" t="str">
        <f aca="false">IF($P111="","",INDEX(Assessment!$H:$H,$P111))</f>
        <v/>
      </c>
      <c r="D111" s="44" t="str">
        <f aca="false">IF($P111="","",INDEX(Assessment!$C:$C,$P111))</f>
        <v/>
      </c>
      <c r="E111" s="45" t="str">
        <f aca="false">IF($P111="","",INDEX(Assessment!$D:$D,$P111))</f>
        <v/>
      </c>
      <c r="F111" s="46"/>
      <c r="G111" s="47"/>
      <c r="H111" s="47"/>
      <c r="I111" s="48"/>
      <c r="J111" s="48"/>
      <c r="K111" s="47"/>
      <c r="L111" s="46"/>
      <c r="P111" s="0" t="str">
        <f aca="false">IFERROR(MATCH(107,Assessment!$J$5:$J$164,0)+4,"")</f>
        <v/>
      </c>
    </row>
    <row r="112" customFormat="false" ht="33.75" hidden="false" customHeight="true" outlineLevel="0" collapsed="false">
      <c r="A112" s="42" t="str">
        <f aca="false">IF($P112="","",INDEX(Assessment!$A:$A,$P112))</f>
        <v/>
      </c>
      <c r="B112" s="42" t="str">
        <f aca="false">IF($P112="","",INDEX(Assessment!$B:$B,$P112))</f>
        <v/>
      </c>
      <c r="C112" s="43" t="str">
        <f aca="false">IF($P112="","",INDEX(Assessment!$H:$H,$P112))</f>
        <v/>
      </c>
      <c r="D112" s="44" t="str">
        <f aca="false">IF($P112="","",INDEX(Assessment!$C:$C,$P112))</f>
        <v/>
      </c>
      <c r="E112" s="45" t="str">
        <f aca="false">IF($P112="","",INDEX(Assessment!$D:$D,$P112))</f>
        <v/>
      </c>
      <c r="F112" s="46"/>
      <c r="G112" s="47"/>
      <c r="H112" s="47"/>
      <c r="I112" s="48"/>
      <c r="J112" s="48"/>
      <c r="K112" s="47"/>
      <c r="L112" s="46"/>
      <c r="P112" s="0" t="str">
        <f aca="false">IFERROR(MATCH(108,Assessment!$J$5:$J$164,0)+4,"")</f>
        <v/>
      </c>
    </row>
    <row r="113" customFormat="false" ht="33.75" hidden="false" customHeight="true" outlineLevel="0" collapsed="false">
      <c r="A113" s="42" t="str">
        <f aca="false">IF($P113="","",INDEX(Assessment!$A:$A,$P113))</f>
        <v/>
      </c>
      <c r="B113" s="42" t="str">
        <f aca="false">IF($P113="","",INDEX(Assessment!$B:$B,$P113))</f>
        <v/>
      </c>
      <c r="C113" s="43" t="str">
        <f aca="false">IF($P113="","",INDEX(Assessment!$H:$H,$P113))</f>
        <v/>
      </c>
      <c r="D113" s="44" t="str">
        <f aca="false">IF($P113="","",INDEX(Assessment!$C:$C,$P113))</f>
        <v/>
      </c>
      <c r="E113" s="45" t="str">
        <f aca="false">IF($P113="","",INDEX(Assessment!$D:$D,$P113))</f>
        <v/>
      </c>
      <c r="F113" s="46"/>
      <c r="G113" s="47"/>
      <c r="H113" s="47"/>
      <c r="I113" s="48"/>
      <c r="J113" s="48"/>
      <c r="K113" s="47"/>
      <c r="L113" s="46"/>
      <c r="P113" s="0" t="str">
        <f aca="false">IFERROR(MATCH(109,Assessment!$J$5:$J$164,0)+4,"")</f>
        <v/>
      </c>
    </row>
    <row r="114" customFormat="false" ht="33.75" hidden="false" customHeight="true" outlineLevel="0" collapsed="false">
      <c r="A114" s="42" t="str">
        <f aca="false">IF($P114="","",INDEX(Assessment!$A:$A,$P114))</f>
        <v/>
      </c>
      <c r="B114" s="42" t="str">
        <f aca="false">IF($P114="","",INDEX(Assessment!$B:$B,$P114))</f>
        <v/>
      </c>
      <c r="C114" s="43" t="str">
        <f aca="false">IF($P114="","",INDEX(Assessment!$H:$H,$P114))</f>
        <v/>
      </c>
      <c r="D114" s="44" t="str">
        <f aca="false">IF($P114="","",INDEX(Assessment!$C:$C,$P114))</f>
        <v/>
      </c>
      <c r="E114" s="45" t="str">
        <f aca="false">IF($P114="","",INDEX(Assessment!$D:$D,$P114))</f>
        <v/>
      </c>
      <c r="F114" s="46"/>
      <c r="G114" s="47"/>
      <c r="H114" s="47"/>
      <c r="I114" s="48"/>
      <c r="J114" s="48"/>
      <c r="K114" s="47"/>
      <c r="L114" s="46"/>
      <c r="P114" s="0" t="str">
        <f aca="false">IFERROR(MATCH(110,Assessment!$J$5:$J$164,0)+4,"")</f>
        <v/>
      </c>
    </row>
    <row r="115" customFormat="false" ht="33.75" hidden="false" customHeight="true" outlineLevel="0" collapsed="false">
      <c r="A115" s="42" t="str">
        <f aca="false">IF($P115="","",INDEX(Assessment!$A:$A,$P115))</f>
        <v/>
      </c>
      <c r="B115" s="42" t="str">
        <f aca="false">IF($P115="","",INDEX(Assessment!$B:$B,$P115))</f>
        <v/>
      </c>
      <c r="C115" s="43" t="str">
        <f aca="false">IF($P115="","",INDEX(Assessment!$H:$H,$P115))</f>
        <v/>
      </c>
      <c r="D115" s="44" t="str">
        <f aca="false">IF($P115="","",INDEX(Assessment!$C:$C,$P115))</f>
        <v/>
      </c>
      <c r="E115" s="45" t="str">
        <f aca="false">IF($P115="","",INDEX(Assessment!$D:$D,$P115))</f>
        <v/>
      </c>
      <c r="F115" s="46"/>
      <c r="G115" s="47"/>
      <c r="H115" s="47"/>
      <c r="I115" s="48"/>
      <c r="J115" s="48"/>
      <c r="K115" s="47"/>
      <c r="L115" s="46"/>
      <c r="P115" s="0" t="str">
        <f aca="false">IFERROR(MATCH(111,Assessment!$J$5:$J$164,0)+4,"")</f>
        <v/>
      </c>
    </row>
    <row r="116" customFormat="false" ht="33.75" hidden="false" customHeight="true" outlineLevel="0" collapsed="false">
      <c r="A116" s="42" t="str">
        <f aca="false">IF($P116="","",INDEX(Assessment!$A:$A,$P116))</f>
        <v/>
      </c>
      <c r="B116" s="42" t="str">
        <f aca="false">IF($P116="","",INDEX(Assessment!$B:$B,$P116))</f>
        <v/>
      </c>
      <c r="C116" s="43" t="str">
        <f aca="false">IF($P116="","",INDEX(Assessment!$H:$H,$P116))</f>
        <v/>
      </c>
      <c r="D116" s="44" t="str">
        <f aca="false">IF($P116="","",INDEX(Assessment!$C:$C,$P116))</f>
        <v/>
      </c>
      <c r="E116" s="45" t="str">
        <f aca="false">IF($P116="","",INDEX(Assessment!$D:$D,$P116))</f>
        <v/>
      </c>
      <c r="F116" s="46"/>
      <c r="G116" s="47"/>
      <c r="H116" s="47"/>
      <c r="I116" s="48"/>
      <c r="J116" s="48"/>
      <c r="K116" s="47"/>
      <c r="L116" s="46"/>
      <c r="P116" s="0" t="str">
        <f aca="false">IFERROR(MATCH(112,Assessment!$J$5:$J$164,0)+4,"")</f>
        <v/>
      </c>
    </row>
    <row r="117" customFormat="false" ht="33.75" hidden="false" customHeight="true" outlineLevel="0" collapsed="false">
      <c r="A117" s="42" t="str">
        <f aca="false">IF($P117="","",INDEX(Assessment!$A:$A,$P117))</f>
        <v/>
      </c>
      <c r="B117" s="42" t="str">
        <f aca="false">IF($P117="","",INDEX(Assessment!$B:$B,$P117))</f>
        <v/>
      </c>
      <c r="C117" s="43" t="str">
        <f aca="false">IF($P117="","",INDEX(Assessment!$H:$H,$P117))</f>
        <v/>
      </c>
      <c r="D117" s="44" t="str">
        <f aca="false">IF($P117="","",INDEX(Assessment!$C:$C,$P117))</f>
        <v/>
      </c>
      <c r="E117" s="45" t="str">
        <f aca="false">IF($P117="","",INDEX(Assessment!$D:$D,$P117))</f>
        <v/>
      </c>
      <c r="F117" s="46"/>
      <c r="G117" s="47"/>
      <c r="H117" s="47"/>
      <c r="I117" s="48"/>
      <c r="J117" s="48"/>
      <c r="K117" s="47"/>
      <c r="L117" s="46"/>
      <c r="P117" s="0" t="str">
        <f aca="false">IFERROR(MATCH(113,Assessment!$J$5:$J$164,0)+4,"")</f>
        <v/>
      </c>
    </row>
    <row r="118" customFormat="false" ht="33.75" hidden="false" customHeight="true" outlineLevel="0" collapsed="false">
      <c r="A118" s="42" t="str">
        <f aca="false">IF($P118="","",INDEX(Assessment!$A:$A,$P118))</f>
        <v/>
      </c>
      <c r="B118" s="42" t="str">
        <f aca="false">IF($P118="","",INDEX(Assessment!$B:$B,$P118))</f>
        <v/>
      </c>
      <c r="C118" s="43" t="str">
        <f aca="false">IF($P118="","",INDEX(Assessment!$H:$H,$P118))</f>
        <v/>
      </c>
      <c r="D118" s="44" t="str">
        <f aca="false">IF($P118="","",INDEX(Assessment!$C:$C,$P118))</f>
        <v/>
      </c>
      <c r="E118" s="45" t="str">
        <f aca="false">IF($P118="","",INDEX(Assessment!$D:$D,$P118))</f>
        <v/>
      </c>
      <c r="F118" s="46"/>
      <c r="G118" s="47"/>
      <c r="H118" s="47"/>
      <c r="I118" s="48"/>
      <c r="J118" s="48"/>
      <c r="K118" s="47"/>
      <c r="L118" s="46"/>
      <c r="P118" s="0" t="str">
        <f aca="false">IFERROR(MATCH(114,Assessment!$J$5:$J$164,0)+4,"")</f>
        <v/>
      </c>
    </row>
    <row r="119" customFormat="false" ht="33.75" hidden="false" customHeight="true" outlineLevel="0" collapsed="false">
      <c r="A119" s="42" t="str">
        <f aca="false">IF($P119="","",INDEX(Assessment!$A:$A,$P119))</f>
        <v/>
      </c>
      <c r="B119" s="42" t="str">
        <f aca="false">IF($P119="","",INDEX(Assessment!$B:$B,$P119))</f>
        <v/>
      </c>
      <c r="C119" s="43" t="str">
        <f aca="false">IF($P119="","",INDEX(Assessment!$H:$H,$P119))</f>
        <v/>
      </c>
      <c r="D119" s="44" t="str">
        <f aca="false">IF($P119="","",INDEX(Assessment!$C:$C,$P119))</f>
        <v/>
      </c>
      <c r="E119" s="45" t="str">
        <f aca="false">IF($P119="","",INDEX(Assessment!$D:$D,$P119))</f>
        <v/>
      </c>
      <c r="F119" s="46"/>
      <c r="G119" s="47"/>
      <c r="H119" s="47"/>
      <c r="I119" s="48"/>
      <c r="J119" s="48"/>
      <c r="K119" s="47"/>
      <c r="L119" s="46"/>
      <c r="P119" s="0" t="str">
        <f aca="false">IFERROR(MATCH(115,Assessment!$J$5:$J$164,0)+4,"")</f>
        <v/>
      </c>
    </row>
    <row r="120" customFormat="false" ht="33.75" hidden="false" customHeight="true" outlineLevel="0" collapsed="false">
      <c r="A120" s="42" t="str">
        <f aca="false">IF($P120="","",INDEX(Assessment!$A:$A,$P120))</f>
        <v/>
      </c>
      <c r="B120" s="42" t="str">
        <f aca="false">IF($P120="","",INDEX(Assessment!$B:$B,$P120))</f>
        <v/>
      </c>
      <c r="C120" s="43" t="str">
        <f aca="false">IF($P120="","",INDEX(Assessment!$H:$H,$P120))</f>
        <v/>
      </c>
      <c r="D120" s="44" t="str">
        <f aca="false">IF($P120="","",INDEX(Assessment!$C:$C,$P120))</f>
        <v/>
      </c>
      <c r="E120" s="45" t="str">
        <f aca="false">IF($P120="","",INDEX(Assessment!$D:$D,$P120))</f>
        <v/>
      </c>
      <c r="F120" s="46"/>
      <c r="G120" s="47"/>
      <c r="H120" s="47"/>
      <c r="I120" s="48"/>
      <c r="J120" s="48"/>
      <c r="K120" s="47"/>
      <c r="L120" s="46"/>
      <c r="P120" s="0" t="str">
        <f aca="false">IFERROR(MATCH(116,Assessment!$J$5:$J$164,0)+4,"")</f>
        <v/>
      </c>
    </row>
    <row r="121" customFormat="false" ht="33.75" hidden="false" customHeight="true" outlineLevel="0" collapsed="false">
      <c r="A121" s="42" t="str">
        <f aca="false">IF($P121="","",INDEX(Assessment!$A:$A,$P121))</f>
        <v/>
      </c>
      <c r="B121" s="42" t="str">
        <f aca="false">IF($P121="","",INDEX(Assessment!$B:$B,$P121))</f>
        <v/>
      </c>
      <c r="C121" s="43" t="str">
        <f aca="false">IF($P121="","",INDEX(Assessment!$H:$H,$P121))</f>
        <v/>
      </c>
      <c r="D121" s="44" t="str">
        <f aca="false">IF($P121="","",INDEX(Assessment!$C:$C,$P121))</f>
        <v/>
      </c>
      <c r="E121" s="45" t="str">
        <f aca="false">IF($P121="","",INDEX(Assessment!$D:$D,$P121))</f>
        <v/>
      </c>
      <c r="F121" s="46"/>
      <c r="G121" s="47"/>
      <c r="H121" s="47"/>
      <c r="I121" s="48"/>
      <c r="J121" s="48"/>
      <c r="K121" s="47"/>
      <c r="L121" s="46"/>
      <c r="P121" s="0" t="str">
        <f aca="false">IFERROR(MATCH(117,Assessment!$J$5:$J$164,0)+4,"")</f>
        <v/>
      </c>
    </row>
    <row r="122" customFormat="false" ht="33.75" hidden="false" customHeight="true" outlineLevel="0" collapsed="false">
      <c r="A122" s="42" t="str">
        <f aca="false">IF($P122="","",INDEX(Assessment!$A:$A,$P122))</f>
        <v/>
      </c>
      <c r="B122" s="42" t="str">
        <f aca="false">IF($P122="","",INDEX(Assessment!$B:$B,$P122))</f>
        <v/>
      </c>
      <c r="C122" s="43" t="str">
        <f aca="false">IF($P122="","",INDEX(Assessment!$H:$H,$P122))</f>
        <v/>
      </c>
      <c r="D122" s="44" t="str">
        <f aca="false">IF($P122="","",INDEX(Assessment!$C:$C,$P122))</f>
        <v/>
      </c>
      <c r="E122" s="45" t="str">
        <f aca="false">IF($P122="","",INDEX(Assessment!$D:$D,$P122))</f>
        <v/>
      </c>
      <c r="F122" s="46"/>
      <c r="G122" s="47"/>
      <c r="H122" s="47"/>
      <c r="I122" s="48"/>
      <c r="J122" s="48"/>
      <c r="K122" s="47"/>
      <c r="L122" s="46"/>
      <c r="P122" s="0" t="str">
        <f aca="false">IFERROR(MATCH(118,Assessment!$J$5:$J$164,0)+4,"")</f>
        <v/>
      </c>
    </row>
    <row r="123" customFormat="false" ht="33.75" hidden="false" customHeight="true" outlineLevel="0" collapsed="false">
      <c r="A123" s="42" t="str">
        <f aca="false">IF($P123="","",INDEX(Assessment!$A:$A,$P123))</f>
        <v/>
      </c>
      <c r="B123" s="42" t="str">
        <f aca="false">IF($P123="","",INDEX(Assessment!$B:$B,$P123))</f>
        <v/>
      </c>
      <c r="C123" s="43" t="str">
        <f aca="false">IF($P123="","",INDEX(Assessment!$H:$H,$P123))</f>
        <v/>
      </c>
      <c r="D123" s="44" t="str">
        <f aca="false">IF($P123="","",INDEX(Assessment!$C:$C,$P123))</f>
        <v/>
      </c>
      <c r="E123" s="45" t="str">
        <f aca="false">IF($P123="","",INDEX(Assessment!$D:$D,$P123))</f>
        <v/>
      </c>
      <c r="F123" s="46"/>
      <c r="G123" s="47"/>
      <c r="H123" s="47"/>
      <c r="I123" s="48"/>
      <c r="J123" s="48"/>
      <c r="K123" s="47"/>
      <c r="L123" s="46"/>
      <c r="P123" s="0" t="str">
        <f aca="false">IFERROR(MATCH(119,Assessment!$J$5:$J$164,0)+4,"")</f>
        <v/>
      </c>
    </row>
    <row r="124" customFormat="false" ht="33.75" hidden="false" customHeight="true" outlineLevel="0" collapsed="false">
      <c r="A124" s="42" t="str">
        <f aca="false">IF($P124="","",INDEX(Assessment!$A:$A,$P124))</f>
        <v/>
      </c>
      <c r="B124" s="42" t="str">
        <f aca="false">IF($P124="","",INDEX(Assessment!$B:$B,$P124))</f>
        <v/>
      </c>
      <c r="C124" s="43" t="str">
        <f aca="false">IF($P124="","",INDEX(Assessment!$H:$H,$P124))</f>
        <v/>
      </c>
      <c r="D124" s="44" t="str">
        <f aca="false">IF($P124="","",INDEX(Assessment!$C:$C,$P124))</f>
        <v/>
      </c>
      <c r="E124" s="45" t="str">
        <f aca="false">IF($P124="","",INDEX(Assessment!$D:$D,$P124))</f>
        <v/>
      </c>
      <c r="F124" s="46"/>
      <c r="G124" s="47"/>
      <c r="H124" s="47"/>
      <c r="I124" s="48"/>
      <c r="J124" s="48"/>
      <c r="K124" s="47"/>
      <c r="L124" s="46"/>
      <c r="P124" s="0" t="str">
        <f aca="false">IFERROR(MATCH(120,Assessment!$J$5:$J$164,0)+4,"")</f>
        <v/>
      </c>
    </row>
    <row r="125" customFormat="false" ht="33.75" hidden="false" customHeight="true" outlineLevel="0" collapsed="false">
      <c r="A125" s="42" t="str">
        <f aca="false">IF($P125="","",INDEX(Assessment!$A:$A,$P125))</f>
        <v/>
      </c>
      <c r="B125" s="42" t="str">
        <f aca="false">IF($P125="","",INDEX(Assessment!$B:$B,$P125))</f>
        <v/>
      </c>
      <c r="C125" s="43" t="str">
        <f aca="false">IF($P125="","",INDEX(Assessment!$H:$H,$P125))</f>
        <v/>
      </c>
      <c r="D125" s="44" t="str">
        <f aca="false">IF($P125="","",INDEX(Assessment!$C:$C,$P125))</f>
        <v/>
      </c>
      <c r="E125" s="45" t="str">
        <f aca="false">IF($P125="","",INDEX(Assessment!$D:$D,$P125))</f>
        <v/>
      </c>
      <c r="F125" s="46"/>
      <c r="G125" s="47"/>
      <c r="H125" s="47"/>
      <c r="I125" s="48"/>
      <c r="J125" s="48"/>
      <c r="K125" s="47"/>
      <c r="L125" s="46"/>
      <c r="P125" s="0" t="str">
        <f aca="false">IFERROR(MATCH(121,Assessment!$J$5:$J$164,0)+4,"")</f>
        <v/>
      </c>
    </row>
    <row r="126" customFormat="false" ht="33.75" hidden="false" customHeight="true" outlineLevel="0" collapsed="false">
      <c r="A126" s="42" t="str">
        <f aca="false">IF($P126="","",INDEX(Assessment!$A:$A,$P126))</f>
        <v/>
      </c>
      <c r="B126" s="42" t="str">
        <f aca="false">IF($P126="","",INDEX(Assessment!$B:$B,$P126))</f>
        <v/>
      </c>
      <c r="C126" s="43" t="str">
        <f aca="false">IF($P126="","",INDEX(Assessment!$H:$H,$P126))</f>
        <v/>
      </c>
      <c r="D126" s="44" t="str">
        <f aca="false">IF($P126="","",INDEX(Assessment!$C:$C,$P126))</f>
        <v/>
      </c>
      <c r="E126" s="45" t="str">
        <f aca="false">IF($P126="","",INDEX(Assessment!$D:$D,$P126))</f>
        <v/>
      </c>
      <c r="F126" s="46"/>
      <c r="G126" s="47"/>
      <c r="H126" s="47"/>
      <c r="I126" s="48"/>
      <c r="J126" s="48"/>
      <c r="K126" s="47"/>
      <c r="L126" s="46"/>
      <c r="P126" s="0" t="str">
        <f aca="false">IFERROR(MATCH(122,Assessment!$J$5:$J$164,0)+4,"")</f>
        <v/>
      </c>
    </row>
    <row r="127" customFormat="false" ht="33.75" hidden="false" customHeight="true" outlineLevel="0" collapsed="false">
      <c r="A127" s="42" t="str">
        <f aca="false">IF($P127="","",INDEX(Assessment!$A:$A,$P127))</f>
        <v/>
      </c>
      <c r="B127" s="42" t="str">
        <f aca="false">IF($P127="","",INDEX(Assessment!$B:$B,$P127))</f>
        <v/>
      </c>
      <c r="C127" s="43" t="str">
        <f aca="false">IF($P127="","",INDEX(Assessment!$H:$H,$P127))</f>
        <v/>
      </c>
      <c r="D127" s="44" t="str">
        <f aca="false">IF($P127="","",INDEX(Assessment!$C:$C,$P127))</f>
        <v/>
      </c>
      <c r="E127" s="45" t="str">
        <f aca="false">IF($P127="","",INDEX(Assessment!$D:$D,$P127))</f>
        <v/>
      </c>
      <c r="F127" s="46"/>
      <c r="G127" s="47"/>
      <c r="H127" s="47"/>
      <c r="I127" s="48"/>
      <c r="J127" s="48"/>
      <c r="K127" s="47"/>
      <c r="L127" s="46"/>
      <c r="P127" s="0" t="str">
        <f aca="false">IFERROR(MATCH(123,Assessment!$J$5:$J$164,0)+4,"")</f>
        <v/>
      </c>
    </row>
    <row r="128" customFormat="false" ht="33.75" hidden="false" customHeight="true" outlineLevel="0" collapsed="false">
      <c r="A128" s="42" t="str">
        <f aca="false">IF($P128="","",INDEX(Assessment!$A:$A,$P128))</f>
        <v/>
      </c>
      <c r="B128" s="42" t="str">
        <f aca="false">IF($P128="","",INDEX(Assessment!$B:$B,$P128))</f>
        <v/>
      </c>
      <c r="C128" s="43" t="str">
        <f aca="false">IF($P128="","",INDEX(Assessment!$H:$H,$P128))</f>
        <v/>
      </c>
      <c r="D128" s="44" t="str">
        <f aca="false">IF($P128="","",INDEX(Assessment!$C:$C,$P128))</f>
        <v/>
      </c>
      <c r="E128" s="45" t="str">
        <f aca="false">IF($P128="","",INDEX(Assessment!$D:$D,$P128))</f>
        <v/>
      </c>
      <c r="F128" s="46"/>
      <c r="G128" s="47"/>
      <c r="H128" s="47"/>
      <c r="I128" s="48"/>
      <c r="J128" s="48"/>
      <c r="K128" s="47"/>
      <c r="L128" s="46"/>
      <c r="P128" s="0" t="str">
        <f aca="false">IFERROR(MATCH(124,Assessment!$J$5:$J$164,0)+4,"")</f>
        <v/>
      </c>
    </row>
    <row r="129" customFormat="false" ht="33.75" hidden="false" customHeight="true" outlineLevel="0" collapsed="false">
      <c r="A129" s="42" t="str">
        <f aca="false">IF($P129="","",INDEX(Assessment!$A:$A,$P129))</f>
        <v/>
      </c>
      <c r="B129" s="42" t="str">
        <f aca="false">IF($P129="","",INDEX(Assessment!$B:$B,$P129))</f>
        <v/>
      </c>
      <c r="C129" s="43" t="str">
        <f aca="false">IF($P129="","",INDEX(Assessment!$H:$H,$P129))</f>
        <v/>
      </c>
      <c r="D129" s="44" t="str">
        <f aca="false">IF($P129="","",INDEX(Assessment!$C:$C,$P129))</f>
        <v/>
      </c>
      <c r="E129" s="45" t="str">
        <f aca="false">IF($P129="","",INDEX(Assessment!$D:$D,$P129))</f>
        <v/>
      </c>
      <c r="F129" s="46"/>
      <c r="G129" s="47"/>
      <c r="H129" s="47"/>
      <c r="I129" s="48"/>
      <c r="J129" s="48"/>
      <c r="K129" s="47"/>
      <c r="L129" s="46"/>
      <c r="P129" s="0" t="str">
        <f aca="false">IFERROR(MATCH(125,Assessment!$J$5:$J$164,0)+4,"")</f>
        <v/>
      </c>
    </row>
    <row r="130" customFormat="false" ht="33.75" hidden="false" customHeight="true" outlineLevel="0" collapsed="false">
      <c r="A130" s="42" t="str">
        <f aca="false">IF($P130="","",INDEX(Assessment!$A:$A,$P130))</f>
        <v/>
      </c>
      <c r="B130" s="42" t="str">
        <f aca="false">IF($P130="","",INDEX(Assessment!$B:$B,$P130))</f>
        <v/>
      </c>
      <c r="C130" s="43" t="str">
        <f aca="false">IF($P130="","",INDEX(Assessment!$H:$H,$P130))</f>
        <v/>
      </c>
      <c r="D130" s="44" t="str">
        <f aca="false">IF($P130="","",INDEX(Assessment!$C:$C,$P130))</f>
        <v/>
      </c>
      <c r="E130" s="45" t="str">
        <f aca="false">IF($P130="","",INDEX(Assessment!$D:$D,$P130))</f>
        <v/>
      </c>
      <c r="F130" s="46"/>
      <c r="G130" s="47"/>
      <c r="H130" s="47"/>
      <c r="I130" s="48"/>
      <c r="J130" s="48"/>
      <c r="K130" s="47"/>
      <c r="L130" s="46"/>
      <c r="P130" s="0" t="str">
        <f aca="false">IFERROR(MATCH(126,Assessment!$J$5:$J$164,0)+4,"")</f>
        <v/>
      </c>
    </row>
    <row r="131" customFormat="false" ht="33.75" hidden="false" customHeight="true" outlineLevel="0" collapsed="false">
      <c r="A131" s="42" t="str">
        <f aca="false">IF($P131="","",INDEX(Assessment!$A:$A,$P131))</f>
        <v/>
      </c>
      <c r="B131" s="42" t="str">
        <f aca="false">IF($P131="","",INDEX(Assessment!$B:$B,$P131))</f>
        <v/>
      </c>
      <c r="C131" s="43" t="str">
        <f aca="false">IF($P131="","",INDEX(Assessment!$H:$H,$P131))</f>
        <v/>
      </c>
      <c r="D131" s="44" t="str">
        <f aca="false">IF($P131="","",INDEX(Assessment!$C:$C,$P131))</f>
        <v/>
      </c>
      <c r="E131" s="45" t="str">
        <f aca="false">IF($P131="","",INDEX(Assessment!$D:$D,$P131))</f>
        <v/>
      </c>
      <c r="F131" s="46"/>
      <c r="G131" s="47"/>
      <c r="H131" s="47"/>
      <c r="I131" s="48"/>
      <c r="J131" s="48"/>
      <c r="K131" s="47"/>
      <c r="L131" s="46"/>
      <c r="P131" s="0" t="str">
        <f aca="false">IFERROR(MATCH(127,Assessment!$J$5:$J$164,0)+4,"")</f>
        <v/>
      </c>
    </row>
    <row r="132" customFormat="false" ht="33.75" hidden="false" customHeight="true" outlineLevel="0" collapsed="false">
      <c r="A132" s="42" t="str">
        <f aca="false">IF($P132="","",INDEX(Assessment!$A:$A,$P132))</f>
        <v/>
      </c>
      <c r="B132" s="42" t="str">
        <f aca="false">IF($P132="","",INDEX(Assessment!$B:$B,$P132))</f>
        <v/>
      </c>
      <c r="C132" s="43" t="str">
        <f aca="false">IF($P132="","",INDEX(Assessment!$H:$H,$P132))</f>
        <v/>
      </c>
      <c r="D132" s="44" t="str">
        <f aca="false">IF($P132="","",INDEX(Assessment!$C:$C,$P132))</f>
        <v/>
      </c>
      <c r="E132" s="45" t="str">
        <f aca="false">IF($P132="","",INDEX(Assessment!$D:$D,$P132))</f>
        <v/>
      </c>
      <c r="F132" s="46"/>
      <c r="G132" s="47"/>
      <c r="H132" s="47"/>
      <c r="I132" s="48"/>
      <c r="J132" s="48"/>
      <c r="K132" s="47"/>
      <c r="L132" s="46"/>
      <c r="P132" s="0" t="str">
        <f aca="false">IFERROR(MATCH(128,Assessment!$J$5:$J$164,0)+4,"")</f>
        <v/>
      </c>
    </row>
    <row r="133" customFormat="false" ht="33.75" hidden="false" customHeight="true" outlineLevel="0" collapsed="false">
      <c r="A133" s="42" t="str">
        <f aca="false">IF($P133="","",INDEX(Assessment!$A:$A,$P133))</f>
        <v/>
      </c>
      <c r="B133" s="42" t="str">
        <f aca="false">IF($P133="","",INDEX(Assessment!$B:$B,$P133))</f>
        <v/>
      </c>
      <c r="C133" s="43" t="str">
        <f aca="false">IF($P133="","",INDEX(Assessment!$H:$H,$P133))</f>
        <v/>
      </c>
      <c r="D133" s="44" t="str">
        <f aca="false">IF($P133="","",INDEX(Assessment!$C:$C,$P133))</f>
        <v/>
      </c>
      <c r="E133" s="45" t="str">
        <f aca="false">IF($P133="","",INDEX(Assessment!$D:$D,$P133))</f>
        <v/>
      </c>
      <c r="F133" s="46"/>
      <c r="G133" s="47"/>
      <c r="H133" s="47"/>
      <c r="I133" s="48"/>
      <c r="J133" s="48"/>
      <c r="K133" s="47"/>
      <c r="L133" s="46"/>
      <c r="P133" s="0" t="str">
        <f aca="false">IFERROR(MATCH(129,Assessment!$J$5:$J$164,0)+4,"")</f>
        <v/>
      </c>
    </row>
    <row r="134" customFormat="false" ht="33.75" hidden="false" customHeight="true" outlineLevel="0" collapsed="false">
      <c r="A134" s="42" t="str">
        <f aca="false">IF($P134="","",INDEX(Assessment!$A:$A,$P134))</f>
        <v/>
      </c>
      <c r="B134" s="42" t="str">
        <f aca="false">IF($P134="","",INDEX(Assessment!$B:$B,$P134))</f>
        <v/>
      </c>
      <c r="C134" s="43" t="str">
        <f aca="false">IF($P134="","",INDEX(Assessment!$H:$H,$P134))</f>
        <v/>
      </c>
      <c r="D134" s="44" t="str">
        <f aca="false">IF($P134="","",INDEX(Assessment!$C:$C,$P134))</f>
        <v/>
      </c>
      <c r="E134" s="45" t="str">
        <f aca="false">IF($P134="","",INDEX(Assessment!$D:$D,$P134))</f>
        <v/>
      </c>
      <c r="F134" s="46"/>
      <c r="G134" s="47"/>
      <c r="H134" s="47"/>
      <c r="I134" s="48"/>
      <c r="J134" s="48"/>
      <c r="K134" s="47"/>
      <c r="L134" s="46"/>
      <c r="P134" s="0" t="str">
        <f aca="false">IFERROR(MATCH(130,Assessment!$J$5:$J$164,0)+4,"")</f>
        <v/>
      </c>
    </row>
    <row r="135" customFormat="false" ht="33.75" hidden="false" customHeight="true" outlineLevel="0" collapsed="false">
      <c r="A135" s="42" t="str">
        <f aca="false">IF($P135="","",INDEX(Assessment!$A:$A,$P135))</f>
        <v/>
      </c>
      <c r="B135" s="42" t="str">
        <f aca="false">IF($P135="","",INDEX(Assessment!$B:$B,$P135))</f>
        <v/>
      </c>
      <c r="C135" s="43" t="str">
        <f aca="false">IF($P135="","",INDEX(Assessment!$H:$H,$P135))</f>
        <v/>
      </c>
      <c r="D135" s="44" t="str">
        <f aca="false">IF($P135="","",INDEX(Assessment!$C:$C,$P135))</f>
        <v/>
      </c>
      <c r="E135" s="45" t="str">
        <f aca="false">IF($P135="","",INDEX(Assessment!$D:$D,$P135))</f>
        <v/>
      </c>
      <c r="F135" s="46"/>
      <c r="G135" s="47"/>
      <c r="H135" s="47"/>
      <c r="I135" s="48"/>
      <c r="J135" s="48"/>
      <c r="K135" s="47"/>
      <c r="L135" s="46"/>
      <c r="P135" s="0" t="str">
        <f aca="false">IFERROR(MATCH(131,Assessment!$J$5:$J$164,0)+4,"")</f>
        <v/>
      </c>
    </row>
    <row r="136" customFormat="false" ht="33.75" hidden="false" customHeight="true" outlineLevel="0" collapsed="false">
      <c r="A136" s="42" t="str">
        <f aca="false">IF($P136="","",INDEX(Assessment!$A:$A,$P136))</f>
        <v/>
      </c>
      <c r="B136" s="42" t="str">
        <f aca="false">IF($P136="","",INDEX(Assessment!$B:$B,$P136))</f>
        <v/>
      </c>
      <c r="C136" s="43" t="str">
        <f aca="false">IF($P136="","",INDEX(Assessment!$H:$H,$P136))</f>
        <v/>
      </c>
      <c r="D136" s="44" t="str">
        <f aca="false">IF($P136="","",INDEX(Assessment!$C:$C,$P136))</f>
        <v/>
      </c>
      <c r="E136" s="45" t="str">
        <f aca="false">IF($P136="","",INDEX(Assessment!$D:$D,$P136))</f>
        <v/>
      </c>
      <c r="F136" s="46"/>
      <c r="G136" s="47"/>
      <c r="H136" s="47"/>
      <c r="I136" s="48"/>
      <c r="J136" s="48"/>
      <c r="K136" s="47"/>
      <c r="L136" s="46"/>
      <c r="P136" s="0" t="str">
        <f aca="false">IFERROR(MATCH(132,Assessment!$J$5:$J$164,0)+4,"")</f>
        <v/>
      </c>
    </row>
    <row r="137" customFormat="false" ht="33.75" hidden="false" customHeight="true" outlineLevel="0" collapsed="false">
      <c r="A137" s="42" t="str">
        <f aca="false">IF($P137="","",INDEX(Assessment!$A:$A,$P137))</f>
        <v/>
      </c>
      <c r="B137" s="42" t="str">
        <f aca="false">IF($P137="","",INDEX(Assessment!$B:$B,$P137))</f>
        <v/>
      </c>
      <c r="C137" s="43" t="str">
        <f aca="false">IF($P137="","",INDEX(Assessment!$H:$H,$P137))</f>
        <v/>
      </c>
      <c r="D137" s="44" t="str">
        <f aca="false">IF($P137="","",INDEX(Assessment!$C:$C,$P137))</f>
        <v/>
      </c>
      <c r="E137" s="45" t="str">
        <f aca="false">IF($P137="","",INDEX(Assessment!$D:$D,$P137))</f>
        <v/>
      </c>
      <c r="F137" s="46"/>
      <c r="G137" s="47"/>
      <c r="H137" s="47"/>
      <c r="I137" s="48"/>
      <c r="J137" s="48"/>
      <c r="K137" s="47"/>
      <c r="L137" s="46"/>
      <c r="P137" s="0" t="str">
        <f aca="false">IFERROR(MATCH(133,Assessment!$J$5:$J$164,0)+4,"")</f>
        <v/>
      </c>
    </row>
    <row r="138" customFormat="false" ht="33.75" hidden="false" customHeight="true" outlineLevel="0" collapsed="false">
      <c r="A138" s="42" t="str">
        <f aca="false">IF($P138="","",INDEX(Assessment!$A:$A,$P138))</f>
        <v/>
      </c>
      <c r="B138" s="42" t="str">
        <f aca="false">IF($P138="","",INDEX(Assessment!$B:$B,$P138))</f>
        <v/>
      </c>
      <c r="C138" s="43" t="str">
        <f aca="false">IF($P138="","",INDEX(Assessment!$H:$H,$P138))</f>
        <v/>
      </c>
      <c r="D138" s="44" t="str">
        <f aca="false">IF($P138="","",INDEX(Assessment!$C:$C,$P138))</f>
        <v/>
      </c>
      <c r="E138" s="45" t="str">
        <f aca="false">IF($P138="","",INDEX(Assessment!$D:$D,$P138))</f>
        <v/>
      </c>
      <c r="F138" s="46"/>
      <c r="G138" s="47"/>
      <c r="H138" s="47"/>
      <c r="I138" s="48"/>
      <c r="J138" s="48"/>
      <c r="K138" s="47"/>
      <c r="L138" s="46"/>
      <c r="P138" s="0" t="str">
        <f aca="false">IFERROR(MATCH(134,Assessment!$J$5:$J$164,0)+4,"")</f>
        <v/>
      </c>
    </row>
    <row r="139" customFormat="false" ht="33.75" hidden="false" customHeight="true" outlineLevel="0" collapsed="false">
      <c r="A139" s="42" t="str">
        <f aca="false">IF($P139="","",INDEX(Assessment!$A:$A,$P139))</f>
        <v/>
      </c>
      <c r="B139" s="42" t="str">
        <f aca="false">IF($P139="","",INDEX(Assessment!$B:$B,$P139))</f>
        <v/>
      </c>
      <c r="C139" s="43" t="str">
        <f aca="false">IF($P139="","",INDEX(Assessment!$H:$H,$P139))</f>
        <v/>
      </c>
      <c r="D139" s="44" t="str">
        <f aca="false">IF($P139="","",INDEX(Assessment!$C:$C,$P139))</f>
        <v/>
      </c>
      <c r="E139" s="45" t="str">
        <f aca="false">IF($P139="","",INDEX(Assessment!$D:$D,$P139))</f>
        <v/>
      </c>
      <c r="F139" s="46"/>
      <c r="G139" s="47"/>
      <c r="H139" s="47"/>
      <c r="I139" s="48"/>
      <c r="J139" s="48"/>
      <c r="K139" s="47"/>
      <c r="L139" s="46"/>
      <c r="P139" s="0" t="str">
        <f aca="false">IFERROR(MATCH(135,Assessment!$J$5:$J$164,0)+4,"")</f>
        <v/>
      </c>
    </row>
    <row r="140" customFormat="false" ht="33.75" hidden="false" customHeight="true" outlineLevel="0" collapsed="false">
      <c r="A140" s="42" t="str">
        <f aca="false">IF($P140="","",INDEX(Assessment!$A:$A,$P140))</f>
        <v/>
      </c>
      <c r="B140" s="42" t="str">
        <f aca="false">IF($P140="","",INDEX(Assessment!$B:$B,$P140))</f>
        <v/>
      </c>
      <c r="C140" s="43" t="str">
        <f aca="false">IF($P140="","",INDEX(Assessment!$H:$H,$P140))</f>
        <v/>
      </c>
      <c r="D140" s="44" t="str">
        <f aca="false">IF($P140="","",INDEX(Assessment!$C:$C,$P140))</f>
        <v/>
      </c>
      <c r="E140" s="45" t="str">
        <f aca="false">IF($P140="","",INDEX(Assessment!$D:$D,$P140))</f>
        <v/>
      </c>
      <c r="F140" s="46"/>
      <c r="G140" s="47"/>
      <c r="H140" s="47"/>
      <c r="I140" s="48"/>
      <c r="J140" s="48"/>
      <c r="K140" s="47"/>
      <c r="L140" s="46"/>
      <c r="P140" s="0" t="str">
        <f aca="false">IFERROR(MATCH(136,Assessment!$J$5:$J$164,0)+4,"")</f>
        <v/>
      </c>
    </row>
    <row r="141" customFormat="false" ht="33.75" hidden="false" customHeight="true" outlineLevel="0" collapsed="false">
      <c r="A141" s="42" t="str">
        <f aca="false">IF($P141="","",INDEX(Assessment!$A:$A,$P141))</f>
        <v/>
      </c>
      <c r="B141" s="42" t="str">
        <f aca="false">IF($P141="","",INDEX(Assessment!$B:$B,$P141))</f>
        <v/>
      </c>
      <c r="C141" s="43" t="str">
        <f aca="false">IF($P141="","",INDEX(Assessment!$H:$H,$P141))</f>
        <v/>
      </c>
      <c r="D141" s="44" t="str">
        <f aca="false">IF($P141="","",INDEX(Assessment!$C:$C,$P141))</f>
        <v/>
      </c>
      <c r="E141" s="45" t="str">
        <f aca="false">IF($P141="","",INDEX(Assessment!$D:$D,$P141))</f>
        <v/>
      </c>
      <c r="F141" s="46"/>
      <c r="G141" s="47"/>
      <c r="H141" s="47"/>
      <c r="I141" s="48"/>
      <c r="J141" s="48"/>
      <c r="K141" s="47"/>
      <c r="L141" s="46"/>
      <c r="P141" s="0" t="str">
        <f aca="false">IFERROR(MATCH(137,Assessment!$J$5:$J$164,0)+4,"")</f>
        <v/>
      </c>
    </row>
    <row r="142" customFormat="false" ht="33.75" hidden="false" customHeight="true" outlineLevel="0" collapsed="false">
      <c r="A142" s="42" t="str">
        <f aca="false">IF($P142="","",INDEX(Assessment!$A:$A,$P142))</f>
        <v/>
      </c>
      <c r="B142" s="42" t="str">
        <f aca="false">IF($P142="","",INDEX(Assessment!$B:$B,$P142))</f>
        <v/>
      </c>
      <c r="C142" s="43" t="str">
        <f aca="false">IF($P142="","",INDEX(Assessment!$H:$H,$P142))</f>
        <v/>
      </c>
      <c r="D142" s="44" t="str">
        <f aca="false">IF($P142="","",INDEX(Assessment!$C:$C,$P142))</f>
        <v/>
      </c>
      <c r="E142" s="45" t="str">
        <f aca="false">IF($P142="","",INDEX(Assessment!$D:$D,$P142))</f>
        <v/>
      </c>
      <c r="F142" s="46"/>
      <c r="G142" s="47"/>
      <c r="H142" s="47"/>
      <c r="I142" s="48"/>
      <c r="J142" s="48"/>
      <c r="K142" s="47"/>
      <c r="L142" s="46"/>
      <c r="P142" s="0" t="str">
        <f aca="false">IFERROR(MATCH(138,Assessment!$J$5:$J$164,0)+4,"")</f>
        <v/>
      </c>
    </row>
    <row r="143" customFormat="false" ht="33.75" hidden="false" customHeight="true" outlineLevel="0" collapsed="false">
      <c r="A143" s="42" t="str">
        <f aca="false">IF($P143="","",INDEX(Assessment!$A:$A,$P143))</f>
        <v/>
      </c>
      <c r="B143" s="42" t="str">
        <f aca="false">IF($P143="","",INDEX(Assessment!$B:$B,$P143))</f>
        <v/>
      </c>
      <c r="C143" s="43" t="str">
        <f aca="false">IF($P143="","",INDEX(Assessment!$H:$H,$P143))</f>
        <v/>
      </c>
      <c r="D143" s="44" t="str">
        <f aca="false">IF($P143="","",INDEX(Assessment!$C:$C,$P143))</f>
        <v/>
      </c>
      <c r="E143" s="45" t="str">
        <f aca="false">IF($P143="","",INDEX(Assessment!$D:$D,$P143))</f>
        <v/>
      </c>
      <c r="F143" s="46"/>
      <c r="G143" s="47"/>
      <c r="H143" s="47"/>
      <c r="I143" s="48"/>
      <c r="J143" s="48"/>
      <c r="K143" s="47"/>
      <c r="L143" s="46"/>
      <c r="P143" s="0" t="str">
        <f aca="false">IFERROR(MATCH(139,Assessment!$J$5:$J$164,0)+4,"")</f>
        <v/>
      </c>
    </row>
    <row r="144" customFormat="false" ht="33.75" hidden="false" customHeight="true" outlineLevel="0" collapsed="false">
      <c r="A144" s="42" t="str">
        <f aca="false">IF($P144="","",INDEX(Assessment!$A:$A,$P144))</f>
        <v/>
      </c>
      <c r="B144" s="42" t="str">
        <f aca="false">IF($P144="","",INDEX(Assessment!$B:$B,$P144))</f>
        <v/>
      </c>
      <c r="C144" s="43" t="str">
        <f aca="false">IF($P144="","",INDEX(Assessment!$H:$H,$P144))</f>
        <v/>
      </c>
      <c r="D144" s="44" t="str">
        <f aca="false">IF($P144="","",INDEX(Assessment!$C:$C,$P144))</f>
        <v/>
      </c>
      <c r="E144" s="45" t="str">
        <f aca="false">IF($P144="","",INDEX(Assessment!$D:$D,$P144))</f>
        <v/>
      </c>
      <c r="F144" s="46"/>
      <c r="G144" s="47"/>
      <c r="H144" s="47"/>
      <c r="I144" s="48"/>
      <c r="J144" s="48"/>
      <c r="K144" s="47"/>
      <c r="L144" s="46"/>
      <c r="P144" s="0" t="str">
        <f aca="false">IFERROR(MATCH(140,Assessment!$J$5:$J$164,0)+4,"")</f>
        <v/>
      </c>
    </row>
    <row r="145" customFormat="false" ht="33.75" hidden="false" customHeight="true" outlineLevel="0" collapsed="false">
      <c r="A145" s="42" t="str">
        <f aca="false">IF($P145="","",INDEX(Assessment!$A:$A,$P145))</f>
        <v/>
      </c>
      <c r="B145" s="42" t="str">
        <f aca="false">IF($P145="","",INDEX(Assessment!$B:$B,$P145))</f>
        <v/>
      </c>
      <c r="C145" s="43" t="str">
        <f aca="false">IF($P145="","",INDEX(Assessment!$H:$H,$P145))</f>
        <v/>
      </c>
      <c r="D145" s="44" t="str">
        <f aca="false">IF($P145="","",INDEX(Assessment!$C:$C,$P145))</f>
        <v/>
      </c>
      <c r="E145" s="45" t="str">
        <f aca="false">IF($P145="","",INDEX(Assessment!$D:$D,$P145))</f>
        <v/>
      </c>
      <c r="F145" s="46"/>
      <c r="G145" s="47"/>
      <c r="H145" s="47"/>
      <c r="I145" s="48"/>
      <c r="J145" s="48"/>
      <c r="K145" s="47"/>
      <c r="L145" s="46"/>
      <c r="P145" s="0" t="str">
        <f aca="false">IFERROR(MATCH(141,Assessment!$J$5:$J$164,0)+4,"")</f>
        <v/>
      </c>
    </row>
    <row r="146" customFormat="false" ht="33.75" hidden="false" customHeight="true" outlineLevel="0" collapsed="false">
      <c r="A146" s="42" t="str">
        <f aca="false">IF($P146="","",INDEX(Assessment!$A:$A,$P146))</f>
        <v/>
      </c>
      <c r="B146" s="42" t="str">
        <f aca="false">IF($P146="","",INDEX(Assessment!$B:$B,$P146))</f>
        <v/>
      </c>
      <c r="C146" s="43" t="str">
        <f aca="false">IF($P146="","",INDEX(Assessment!$H:$H,$P146))</f>
        <v/>
      </c>
      <c r="D146" s="44" t="str">
        <f aca="false">IF($P146="","",INDEX(Assessment!$C:$C,$P146))</f>
        <v/>
      </c>
      <c r="E146" s="45" t="str">
        <f aca="false">IF($P146="","",INDEX(Assessment!$D:$D,$P146))</f>
        <v/>
      </c>
      <c r="F146" s="46"/>
      <c r="G146" s="47"/>
      <c r="H146" s="47"/>
      <c r="I146" s="48"/>
      <c r="J146" s="48"/>
      <c r="K146" s="47"/>
      <c r="L146" s="46"/>
      <c r="P146" s="0" t="str">
        <f aca="false">IFERROR(MATCH(142,Assessment!$J$5:$J$164,0)+4,"")</f>
        <v/>
      </c>
    </row>
    <row r="147" customFormat="false" ht="33.75" hidden="false" customHeight="true" outlineLevel="0" collapsed="false">
      <c r="A147" s="42" t="str">
        <f aca="false">IF($P147="","",INDEX(Assessment!$A:$A,$P147))</f>
        <v/>
      </c>
      <c r="B147" s="42" t="str">
        <f aca="false">IF($P147="","",INDEX(Assessment!$B:$B,$P147))</f>
        <v/>
      </c>
      <c r="C147" s="43" t="str">
        <f aca="false">IF($P147="","",INDEX(Assessment!$H:$H,$P147))</f>
        <v/>
      </c>
      <c r="D147" s="44" t="str">
        <f aca="false">IF($P147="","",INDEX(Assessment!$C:$C,$P147))</f>
        <v/>
      </c>
      <c r="E147" s="45" t="str">
        <f aca="false">IF($P147="","",INDEX(Assessment!$D:$D,$P147))</f>
        <v/>
      </c>
      <c r="F147" s="46"/>
      <c r="G147" s="47"/>
      <c r="H147" s="47"/>
      <c r="I147" s="48"/>
      <c r="J147" s="48"/>
      <c r="K147" s="47"/>
      <c r="L147" s="46"/>
      <c r="P147" s="0" t="str">
        <f aca="false">IFERROR(MATCH(143,Assessment!$J$5:$J$164,0)+4,"")</f>
        <v/>
      </c>
    </row>
    <row r="148" customFormat="false" ht="33.75" hidden="false" customHeight="true" outlineLevel="0" collapsed="false">
      <c r="A148" s="42" t="str">
        <f aca="false">IF($P148="","",INDEX(Assessment!$A:$A,$P148))</f>
        <v/>
      </c>
      <c r="B148" s="42" t="str">
        <f aca="false">IF($P148="","",INDEX(Assessment!$B:$B,$P148))</f>
        <v/>
      </c>
      <c r="C148" s="43" t="str">
        <f aca="false">IF($P148="","",INDEX(Assessment!$H:$H,$P148))</f>
        <v/>
      </c>
      <c r="D148" s="44" t="str">
        <f aca="false">IF($P148="","",INDEX(Assessment!$C:$C,$P148))</f>
        <v/>
      </c>
      <c r="E148" s="45" t="str">
        <f aca="false">IF($P148="","",INDEX(Assessment!$D:$D,$P148))</f>
        <v/>
      </c>
      <c r="F148" s="46"/>
      <c r="G148" s="47"/>
      <c r="H148" s="47"/>
      <c r="I148" s="48"/>
      <c r="J148" s="48"/>
      <c r="K148" s="47"/>
      <c r="L148" s="46"/>
      <c r="P148" s="0" t="str">
        <f aca="false">IFERROR(MATCH(144,Assessment!$J$5:$J$164,0)+4,"")</f>
        <v/>
      </c>
    </row>
    <row r="149" customFormat="false" ht="33.75" hidden="false" customHeight="true" outlineLevel="0" collapsed="false">
      <c r="A149" s="42" t="str">
        <f aca="false">IF($P149="","",INDEX(Assessment!$A:$A,$P149))</f>
        <v/>
      </c>
      <c r="B149" s="42" t="str">
        <f aca="false">IF($P149="","",INDEX(Assessment!$B:$B,$P149))</f>
        <v/>
      </c>
      <c r="C149" s="43" t="str">
        <f aca="false">IF($P149="","",INDEX(Assessment!$H:$H,$P149))</f>
        <v/>
      </c>
      <c r="D149" s="44" t="str">
        <f aca="false">IF($P149="","",INDEX(Assessment!$C:$C,$P149))</f>
        <v/>
      </c>
      <c r="E149" s="45" t="str">
        <f aca="false">IF($P149="","",INDEX(Assessment!$D:$D,$P149))</f>
        <v/>
      </c>
      <c r="F149" s="46"/>
      <c r="G149" s="47"/>
      <c r="H149" s="47"/>
      <c r="I149" s="48"/>
      <c r="J149" s="48"/>
      <c r="K149" s="47"/>
      <c r="L149" s="46"/>
      <c r="P149" s="0" t="str">
        <f aca="false">IFERROR(MATCH(145,Assessment!$J$5:$J$164,0)+4,"")</f>
        <v/>
      </c>
    </row>
    <row r="150" customFormat="false" ht="33.75" hidden="false" customHeight="true" outlineLevel="0" collapsed="false">
      <c r="A150" s="42" t="str">
        <f aca="false">IF($P150="","",INDEX(Assessment!$A:$A,$P150))</f>
        <v/>
      </c>
      <c r="B150" s="42" t="str">
        <f aca="false">IF($P150="","",INDEX(Assessment!$B:$B,$P150))</f>
        <v/>
      </c>
      <c r="C150" s="43" t="str">
        <f aca="false">IF($P150="","",INDEX(Assessment!$H:$H,$P150))</f>
        <v/>
      </c>
      <c r="D150" s="44" t="str">
        <f aca="false">IF($P150="","",INDEX(Assessment!$C:$C,$P150))</f>
        <v/>
      </c>
      <c r="E150" s="45" t="str">
        <f aca="false">IF($P150="","",INDEX(Assessment!$D:$D,$P150))</f>
        <v/>
      </c>
      <c r="F150" s="46"/>
      <c r="G150" s="47"/>
      <c r="H150" s="47"/>
      <c r="I150" s="48"/>
      <c r="J150" s="48"/>
      <c r="K150" s="47"/>
      <c r="L150" s="46"/>
      <c r="P150" s="0" t="str">
        <f aca="false">IFERROR(MATCH(146,Assessment!$J$5:$J$164,0)+4,"")</f>
        <v/>
      </c>
    </row>
    <row r="151" customFormat="false" ht="33.75" hidden="false" customHeight="true" outlineLevel="0" collapsed="false">
      <c r="A151" s="42" t="str">
        <f aca="false">IF($P151="","",INDEX(Assessment!$A:$A,$P151))</f>
        <v/>
      </c>
      <c r="B151" s="42" t="str">
        <f aca="false">IF($P151="","",INDEX(Assessment!$B:$B,$P151))</f>
        <v/>
      </c>
      <c r="C151" s="43" t="str">
        <f aca="false">IF($P151="","",INDEX(Assessment!$H:$H,$P151))</f>
        <v/>
      </c>
      <c r="D151" s="44" t="str">
        <f aca="false">IF($P151="","",INDEX(Assessment!$C:$C,$P151))</f>
        <v/>
      </c>
      <c r="E151" s="45" t="str">
        <f aca="false">IF($P151="","",INDEX(Assessment!$D:$D,$P151))</f>
        <v/>
      </c>
      <c r="F151" s="46"/>
      <c r="G151" s="47"/>
      <c r="H151" s="47"/>
      <c r="I151" s="48"/>
      <c r="J151" s="48"/>
      <c r="K151" s="47"/>
      <c r="L151" s="46"/>
      <c r="P151" s="0" t="str">
        <f aca="false">IFERROR(MATCH(147,Assessment!$J$5:$J$164,0)+4,"")</f>
        <v/>
      </c>
    </row>
    <row r="152" customFormat="false" ht="33.75" hidden="false" customHeight="true" outlineLevel="0" collapsed="false">
      <c r="A152" s="42" t="str">
        <f aca="false">IF($P152="","",INDEX(Assessment!$A:$A,$P152))</f>
        <v/>
      </c>
      <c r="B152" s="42" t="str">
        <f aca="false">IF($P152="","",INDEX(Assessment!$B:$B,$P152))</f>
        <v/>
      </c>
      <c r="C152" s="43" t="str">
        <f aca="false">IF($P152="","",INDEX(Assessment!$H:$H,$P152))</f>
        <v/>
      </c>
      <c r="D152" s="44" t="str">
        <f aca="false">IF($P152="","",INDEX(Assessment!$C:$C,$P152))</f>
        <v/>
      </c>
      <c r="E152" s="45" t="str">
        <f aca="false">IF($P152="","",INDEX(Assessment!$D:$D,$P152))</f>
        <v/>
      </c>
      <c r="F152" s="46"/>
      <c r="G152" s="47"/>
      <c r="H152" s="47"/>
      <c r="I152" s="48"/>
      <c r="J152" s="48"/>
      <c r="K152" s="47"/>
      <c r="L152" s="46"/>
      <c r="P152" s="0" t="str">
        <f aca="false">IFERROR(MATCH(148,Assessment!$J$5:$J$164,0)+4,"")</f>
        <v/>
      </c>
    </row>
    <row r="153" customFormat="false" ht="33.75" hidden="false" customHeight="true" outlineLevel="0" collapsed="false">
      <c r="A153" s="42" t="str">
        <f aca="false">IF($P153="","",INDEX(Assessment!$A:$A,$P153))</f>
        <v/>
      </c>
      <c r="B153" s="42" t="str">
        <f aca="false">IF($P153="","",INDEX(Assessment!$B:$B,$P153))</f>
        <v/>
      </c>
      <c r="C153" s="43" t="str">
        <f aca="false">IF($P153="","",INDEX(Assessment!$H:$H,$P153))</f>
        <v/>
      </c>
      <c r="D153" s="44" t="str">
        <f aca="false">IF($P153="","",INDEX(Assessment!$C:$C,$P153))</f>
        <v/>
      </c>
      <c r="E153" s="45" t="str">
        <f aca="false">IF($P153="","",INDEX(Assessment!$D:$D,$P153))</f>
        <v/>
      </c>
      <c r="F153" s="46"/>
      <c r="G153" s="47"/>
      <c r="H153" s="47"/>
      <c r="I153" s="48"/>
      <c r="J153" s="48"/>
      <c r="K153" s="47"/>
      <c r="L153" s="46"/>
      <c r="P153" s="0" t="str">
        <f aca="false">IFERROR(MATCH(149,Assessment!$J$5:$J$164,0)+4,"")</f>
        <v/>
      </c>
    </row>
    <row r="154" customFormat="false" ht="33.75" hidden="false" customHeight="true" outlineLevel="0" collapsed="false">
      <c r="A154" s="42" t="str">
        <f aca="false">IF($P154="","",INDEX(Assessment!$A:$A,$P154))</f>
        <v/>
      </c>
      <c r="B154" s="42" t="str">
        <f aca="false">IF($P154="","",INDEX(Assessment!$B:$B,$P154))</f>
        <v/>
      </c>
      <c r="C154" s="43" t="str">
        <f aca="false">IF($P154="","",INDEX(Assessment!$H:$H,$P154))</f>
        <v/>
      </c>
      <c r="D154" s="44" t="str">
        <f aca="false">IF($P154="","",INDEX(Assessment!$C:$C,$P154))</f>
        <v/>
      </c>
      <c r="E154" s="45" t="str">
        <f aca="false">IF($P154="","",INDEX(Assessment!$D:$D,$P154))</f>
        <v/>
      </c>
      <c r="F154" s="46"/>
      <c r="G154" s="47"/>
      <c r="H154" s="47"/>
      <c r="I154" s="48"/>
      <c r="J154" s="48"/>
      <c r="K154" s="47"/>
      <c r="L154" s="46"/>
      <c r="P154" s="0" t="str">
        <f aca="false">IFERROR(MATCH(150,Assessment!$J$5:$J$164,0)+4,"")</f>
        <v/>
      </c>
    </row>
    <row r="155" customFormat="false" ht="33.75" hidden="false" customHeight="true" outlineLevel="0" collapsed="false">
      <c r="A155" s="42" t="str">
        <f aca="false">IF($P155="","",INDEX(Assessment!$A:$A,$P155))</f>
        <v/>
      </c>
      <c r="B155" s="42" t="str">
        <f aca="false">IF($P155="","",INDEX(Assessment!$B:$B,$P155))</f>
        <v/>
      </c>
      <c r="C155" s="43" t="str">
        <f aca="false">IF($P155="","",INDEX(Assessment!$H:$H,$P155))</f>
        <v/>
      </c>
      <c r="D155" s="44" t="str">
        <f aca="false">IF($P155="","",INDEX(Assessment!$C:$C,$P155))</f>
        <v/>
      </c>
      <c r="E155" s="45" t="str">
        <f aca="false">IF($P155="","",INDEX(Assessment!$D:$D,$P155))</f>
        <v/>
      </c>
      <c r="F155" s="46"/>
      <c r="G155" s="47"/>
      <c r="H155" s="47"/>
      <c r="I155" s="48"/>
      <c r="J155" s="48"/>
      <c r="K155" s="47"/>
      <c r="L155" s="46"/>
      <c r="P155" s="0" t="str">
        <f aca="false">IFERROR(MATCH(151,Assessment!$J$5:$J$164,0)+4,"")</f>
        <v/>
      </c>
    </row>
    <row r="156" customFormat="false" ht="33.75" hidden="false" customHeight="true" outlineLevel="0" collapsed="false">
      <c r="A156" s="42" t="str">
        <f aca="false">IF($P156="","",INDEX(Assessment!$A:$A,$P156))</f>
        <v/>
      </c>
      <c r="B156" s="42" t="str">
        <f aca="false">IF($P156="","",INDEX(Assessment!$B:$B,$P156))</f>
        <v/>
      </c>
      <c r="C156" s="43" t="str">
        <f aca="false">IF($P156="","",INDEX(Assessment!$H:$H,$P156))</f>
        <v/>
      </c>
      <c r="D156" s="44" t="str">
        <f aca="false">IF($P156="","",INDEX(Assessment!$C:$C,$P156))</f>
        <v/>
      </c>
      <c r="E156" s="45" t="str">
        <f aca="false">IF($P156="","",INDEX(Assessment!$D:$D,$P156))</f>
        <v/>
      </c>
      <c r="F156" s="46"/>
      <c r="G156" s="47"/>
      <c r="H156" s="47"/>
      <c r="I156" s="48"/>
      <c r="J156" s="48"/>
      <c r="K156" s="47"/>
      <c r="L156" s="46"/>
      <c r="P156" s="0" t="str">
        <f aca="false">IFERROR(MATCH(152,Assessment!$J$5:$J$164,0)+4,"")</f>
        <v/>
      </c>
    </row>
  </sheetData>
  <sheetProtection sheet="true" password="DEF8" formatColumns="false" formatRows="false" sort="false" autoFilter="false"/>
  <autoFilter ref="A4:L156"/>
  <mergeCells count="4">
    <mergeCell ref="A1:L1"/>
    <mergeCell ref="A2:L2"/>
    <mergeCell ref="A3:B3"/>
    <mergeCell ref="D3:L3"/>
  </mergeCells>
  <conditionalFormatting sqref="A5:L156">
    <cfRule type="expression" priority="2" aboveAverage="0" equalAverage="0" bottom="0" percent="0" rank="0" text="" dxfId="9">
      <formula>$A5=""</formula>
    </cfRule>
  </conditionalFormatting>
  <conditionalFormatting sqref="E5:E156">
    <cfRule type="cellIs" priority="3" operator="equal" aboveAverage="0" equalAverage="0" bottom="0" percent="0" rank="0" text="" dxfId="3">
      <formula>"Not Met"</formula>
    </cfRule>
    <cfRule type="cellIs" priority="4" operator="equal" aboveAverage="0" equalAverage="0" bottom="0" percent="0" rank="0" text="" dxfId="2">
      <formula>"Partially Met"</formula>
    </cfRule>
  </conditionalFormatting>
  <conditionalFormatting sqref="G5:G156">
    <cfRule type="cellIs" priority="5" operator="equal" aboveAverage="0" equalAverage="0" bottom="0" percent="0" rank="0" text="" dxfId="3">
      <formula>"Critical"</formula>
    </cfRule>
    <cfRule type="cellIs" priority="6" operator="equal" aboveAverage="0" equalAverage="0" bottom="0" percent="0" rank="0" text="" dxfId="10">
      <formula>"High"</formula>
    </cfRule>
    <cfRule type="cellIs" priority="7" operator="equal" aboveAverage="0" equalAverage="0" bottom="0" percent="0" rank="0" text="" dxfId="2">
      <formula>"Medium"</formula>
    </cfRule>
    <cfRule type="cellIs" priority="8" operator="equal" aboveAverage="0" equalAverage="0" bottom="0" percent="0" rank="0" text="" dxfId="4">
      <formula>"Low"</formula>
    </cfRule>
  </conditionalFormatting>
  <conditionalFormatting sqref="K5:K156">
    <cfRule type="cellIs" priority="9" operator="equal" aboveAverage="0" equalAverage="0" bottom="0" percent="0" rank="0" text="" dxfId="1">
      <formula>"Complete"</formula>
    </cfRule>
    <cfRule type="cellIs" priority="10" operator="equal" aboveAverage="0" equalAverage="0" bottom="0" percent="0" rank="0" text="" dxfId="2">
      <formula>"In Progress"</formula>
    </cfRule>
    <cfRule type="cellIs" priority="11" operator="equal" aboveAverage="0" equalAverage="0" bottom="0" percent="0" rank="0" text="" dxfId="4">
      <formula>"On Hold"</formula>
    </cfRule>
    <cfRule type="cellIs" priority="12" operator="equal" aboveAverage="0" equalAverage="0" bottom="0" percent="0" rank="0" text="" dxfId="5">
      <formula>"Not Started"</formula>
    </cfRule>
  </conditionalFormatting>
  <conditionalFormatting sqref="I5:I156">
    <cfRule type="expression" priority="13" aboveAverage="0" equalAverage="0" bottom="0" percent="0" rank="0" text="" dxfId="3">
      <formula>AND($A5&lt;&gt;"",$I5&lt;&gt;"",$I5&lt;TODAY(),$K5&lt;&gt;"Complete")</formula>
    </cfRule>
  </conditionalFormatting>
  <dataValidations count="2">
    <dataValidation allowBlank="true" errorStyle="stop" operator="between" showDropDown="false" showErrorMessage="false" showInputMessage="false" sqref="G5:G156" type="list">
      <formula1>"Critical,High,Medium,Low"</formula1>
      <formula2>0</formula2>
    </dataValidation>
    <dataValidation allowBlank="true" errorStyle="stop" operator="between" showDropDown="false" showErrorMessage="false" showInputMessage="false" sqref="K5:K156" type="list">
      <formula1>"Not Started,In Progress,On Hold,Complete"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U42"/>
  <sheetViews>
    <sheetView showFormulas="false" showGridLines="fals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4" min="3" style="0" width="12"/>
    <col collapsed="false" customWidth="true" hidden="false" outlineLevel="0" max="5" min="5" style="0" width="14"/>
    <col collapsed="false" customWidth="true" hidden="false" outlineLevel="0" max="6" min="6" style="0" width="4"/>
    <col collapsed="false" customWidth="true" hidden="false" outlineLevel="0" max="7" min="7" style="0" width="22"/>
    <col collapsed="false" customWidth="true" hidden="false" outlineLevel="0" max="8" min="8" style="0" width="16"/>
    <col collapsed="false" customWidth="true" hidden="true" outlineLevel="0" max="21" min="16" style="0" width="13"/>
  </cols>
  <sheetData>
    <row r="1" customFormat="false" ht="24" hidden="false" customHeight="true" outlineLevel="0" collapsed="false">
      <c r="A1" s="31" t="s">
        <v>354</v>
      </c>
      <c r="B1" s="31"/>
      <c r="C1" s="31"/>
      <c r="D1" s="31"/>
      <c r="E1" s="31"/>
      <c r="G1" s="49" t="s">
        <v>355</v>
      </c>
      <c r="H1" s="49"/>
    </row>
    <row r="2" customFormat="false" ht="24" hidden="false" customHeight="true" outlineLevel="0" collapsed="false">
      <c r="A2" s="31"/>
      <c r="B2" s="31"/>
      <c r="C2" s="31"/>
      <c r="D2" s="31"/>
      <c r="E2" s="31"/>
      <c r="G2" s="49"/>
      <c r="H2" s="49"/>
    </row>
    <row r="4" customFormat="false" ht="15" hidden="false" customHeight="false" outlineLevel="0" collapsed="false">
      <c r="A4" s="50" t="str">
        <f aca="false">IF('Start Here'!C5="","Organisation: (enter on Start Here)","Organisation:  "&amp;'Start Here'!C5)&amp;"      Target:  Maturity Level "&amp;'Start Here'!$C$8</f>
        <v>Organisation: (enter on Start Here)      Target:  Maturity Level 1</v>
      </c>
      <c r="B4" s="50"/>
      <c r="C4" s="50"/>
      <c r="D4" s="50"/>
      <c r="E4" s="50"/>
      <c r="F4" s="50"/>
      <c r="G4" s="50"/>
      <c r="H4" s="50"/>
    </row>
    <row r="6" customFormat="false" ht="31.5" hidden="false" customHeight="true" outlineLevel="0" collapsed="false">
      <c r="A6" s="51" t="str">
        <f aca="false">IF(COUNTIFS(Assessment!$I$5:$I$164,"&lt;="&amp;'Start Here'!$C$8,Assessment!$D$5:$D$164,"Not Assessed")&gt;0,"ASSESSMENT IN PROGRESS  —  "&amp;COUNTIFS(Assessment!$I$5:$I$164,"&lt;="&amp;'Start Here'!$C$8,Assessment!$D$5:$D$164,"Not Assessed")&amp;" in-scope test(s) not yet assessed",IF(MIN(S10:S17)&gt;='Start Here'!$C$8,"TARGET MET  —  Maturity Level "&amp;'Start Here'!$C$8&amp;" achieved across all controls","OVERALL MATURITY: LEVEL "&amp;MIN(S10:S17)&amp;"  —  set by the weakest control (target is Level "&amp;'Start Here'!$C$8&amp;")"))</f>
        <v>ASSESSMENT IN PROGRESS  —  48 in-scope test(s) not yet assessed</v>
      </c>
      <c r="B6" s="51"/>
      <c r="C6" s="51"/>
      <c r="D6" s="51"/>
      <c r="E6" s="51"/>
      <c r="F6" s="51"/>
      <c r="G6" s="51"/>
      <c r="H6" s="51"/>
    </row>
    <row r="8" customFormat="false" ht="15" hidden="false" customHeight="false" outlineLevel="0" collapsed="false">
      <c r="A8" s="16" t="s">
        <v>356</v>
      </c>
      <c r="E8" s="16" t="s">
        <v>357</v>
      </c>
    </row>
    <row r="9" customFormat="false" ht="15" hidden="false" customHeight="false" outlineLevel="0" collapsed="false">
      <c r="A9" s="52" t="s">
        <v>344</v>
      </c>
      <c r="B9" s="53" t="s">
        <v>358</v>
      </c>
      <c r="C9" s="53" t="s">
        <v>359</v>
      </c>
      <c r="D9" s="53" t="s">
        <v>360</v>
      </c>
      <c r="E9" s="54" t="s">
        <v>361</v>
      </c>
      <c r="G9" s="55" t="n">
        <f aca="false">COUNTIF(Assessment!$I$5:$I$164,"&lt;="&amp;'Start Here'!$C$8)</f>
        <v>48</v>
      </c>
      <c r="T9" s="0" t="s">
        <v>344</v>
      </c>
      <c r="U9" s="0" t="s">
        <v>362</v>
      </c>
    </row>
    <row r="10" customFormat="false" ht="15" hidden="false" customHeight="false" outlineLevel="0" collapsed="false">
      <c r="A10" s="56" t="s">
        <v>363</v>
      </c>
      <c r="B10" s="57" t="str">
        <f aca="false">IF(S10=0,"Below L1","Level "&amp;S10)</f>
        <v>Below L1</v>
      </c>
      <c r="C10" s="55" t="str">
        <f aca="false">COUNTIFS(Assessment!$H$5:$H$164,"Patch Applications",Assessment!$I$5:$I$164,"&lt;="&amp;'Start Here'!$C$8,Assessment!$D$5:$D$164,"Met")&amp;" / "&amp;(COUNTIFS(Assessment!$H$5:$H$164,"Patch Applications",Assessment!$I$5:$I$164,"&lt;="&amp;'Start Here'!$C$8)-COUNTIFS(Assessment!$H$5:$H$164,"Patch Applications",Assessment!$I$5:$I$164,"&lt;="&amp;'Start Here'!$C$8,Assessment!$D$5:$D$164,"Not Applicable"))</f>
        <v>0 / 9</v>
      </c>
      <c r="D10" s="57" t="str">
        <f aca="false">IF(S10&gt;='Start Here'!$C$8,"Meets target",IF(S10='Start Here'!$C$8-1,"One level short","Below target"))</f>
        <v>One level short</v>
      </c>
      <c r="E10" s="58" t="s">
        <v>22</v>
      </c>
      <c r="G10" s="55" t="n">
        <f aca="false">COUNTIFS(Assessment!$I$5:$I$164,"&lt;="&amp;'Start Here'!$C$8,Assessment!$D$5:$D$164,"Met")</f>
        <v>0</v>
      </c>
      <c r="P10" s="0" t="n">
        <f aca="false">(COUNTIFS(Assessment!$H$5:$H$164,"Patch Applications",Assessment!$I$5:$I$164,1)-COUNTIFS(Assessment!$H$5:$H$164,"Patch Applications",Assessment!$I$5:$I$164,1,Assessment!$D$5:$D$164,"Met")-COUNTIFS(Assessment!$H$5:$H$164,"Patch Applications",Assessment!$I$5:$I$164,1,Assessment!$D$5:$D$164,"Not Applicable"))</f>
        <v>9</v>
      </c>
      <c r="Q10" s="0" t="n">
        <f aca="false">P10+(COUNTIFS(Assessment!$H$5:$H$164,"Patch Applications",Assessment!$I$5:$I$164,2)-COUNTIFS(Assessment!$H$5:$H$164,"Patch Applications",Assessment!$I$5:$I$164,2,Assessment!$D$5:$D$164,"Met")-COUNTIFS(Assessment!$H$5:$H$164,"Patch Applications",Assessment!$I$5:$I$164,2,Assessment!$D$5:$D$164,"Not Applicable"))</f>
        <v>11</v>
      </c>
      <c r="R10" s="0" t="n">
        <f aca="false">Q10+(COUNTIFS(Assessment!$H$5:$H$164,"Patch Applications",Assessment!$I$5:$I$164,3)-COUNTIFS(Assessment!$H$5:$H$164,"Patch Applications",Assessment!$I$5:$I$164,3,Assessment!$D$5:$D$164,"Met")-COUNTIFS(Assessment!$H$5:$H$164,"Patch Applications",Assessment!$I$5:$I$164,3,Assessment!$D$5:$D$164,"Not Applicable"))</f>
        <v>14</v>
      </c>
      <c r="S10" s="0" t="n">
        <f aca="false">IF(P10&gt;0,0,IF(Q10&gt;0,1,IF(R10&gt;0,2,3)))</f>
        <v>0</v>
      </c>
      <c r="T10" s="0" t="s">
        <v>46</v>
      </c>
      <c r="U10" s="0" t="n">
        <f aca="false">S10</f>
        <v>0</v>
      </c>
    </row>
    <row r="11" customFormat="false" ht="15" hidden="false" customHeight="false" outlineLevel="0" collapsed="false">
      <c r="A11" s="56" t="s">
        <v>364</v>
      </c>
      <c r="B11" s="57" t="str">
        <f aca="false">IF(S11=0,"Below L1","Level "&amp;S11)</f>
        <v>Below L1</v>
      </c>
      <c r="C11" s="55" t="str">
        <f aca="false">COUNTIFS(Assessment!$H$5:$H$164,"Patch Operating Systems",Assessment!$I$5:$I$164,"&lt;="&amp;'Start Here'!$C$8,Assessment!$D$5:$D$164,"Met")&amp;" / "&amp;(COUNTIFS(Assessment!$H$5:$H$164,"Patch Operating Systems",Assessment!$I$5:$I$164,"&lt;="&amp;'Start Here'!$C$8)-COUNTIFS(Assessment!$H$5:$H$164,"Patch Operating Systems",Assessment!$I$5:$I$164,"&lt;="&amp;'Start Here'!$C$8,Assessment!$D$5:$D$164,"Not Applicable"))</f>
        <v>0 / 8</v>
      </c>
      <c r="D11" s="57" t="str">
        <f aca="false">IF(S11&gt;='Start Here'!$C$8,"Meets target",IF(S11='Start Here'!$C$8-1,"One level short","Below target"))</f>
        <v>One level short</v>
      </c>
      <c r="E11" s="59" t="s">
        <v>24</v>
      </c>
      <c r="G11" s="55" t="n">
        <f aca="false">COUNTIFS(Assessment!$I$5:$I$164,"&lt;="&amp;'Start Here'!$C$8,Assessment!$D$5:$D$164,"Partially Met")</f>
        <v>0</v>
      </c>
      <c r="P11" s="0" t="n">
        <f aca="false">(COUNTIFS(Assessment!$H$5:$H$164,"Patch Operating Systems",Assessment!$I$5:$I$164,1)-COUNTIFS(Assessment!$H$5:$H$164,"Patch Operating Systems",Assessment!$I$5:$I$164,1,Assessment!$D$5:$D$164,"Met")-COUNTIFS(Assessment!$H$5:$H$164,"Patch Operating Systems",Assessment!$I$5:$I$164,1,Assessment!$D$5:$D$164,"Not Applicable"))</f>
        <v>8</v>
      </c>
      <c r="Q11" s="0" t="n">
        <f aca="false">P11+(COUNTIFS(Assessment!$H$5:$H$164,"Patch Operating Systems",Assessment!$I$5:$I$164,2)-COUNTIFS(Assessment!$H$5:$H$164,"Patch Operating Systems",Assessment!$I$5:$I$164,2,Assessment!$D$5:$D$164,"Met")-COUNTIFS(Assessment!$H$5:$H$164,"Patch Operating Systems",Assessment!$I$5:$I$164,2,Assessment!$D$5:$D$164,"Not Applicable"))</f>
        <v>8</v>
      </c>
      <c r="R11" s="0" t="n">
        <f aca="false">Q11+(COUNTIFS(Assessment!$H$5:$H$164,"Patch Operating Systems",Assessment!$I$5:$I$164,3)-COUNTIFS(Assessment!$H$5:$H$164,"Patch Operating Systems",Assessment!$I$5:$I$164,3,Assessment!$D$5:$D$164,"Met")-COUNTIFS(Assessment!$H$5:$H$164,"Patch Operating Systems",Assessment!$I$5:$I$164,3,Assessment!$D$5:$D$164,"Not Applicable"))</f>
        <v>17</v>
      </c>
      <c r="S11" s="0" t="n">
        <f aca="false">IF(P11&gt;0,0,IF(Q11&gt;0,1,IF(R11&gt;0,2,3)))</f>
        <v>0</v>
      </c>
      <c r="T11" s="0" t="s">
        <v>77</v>
      </c>
      <c r="U11" s="0" t="n">
        <f aca="false">S11</f>
        <v>0</v>
      </c>
    </row>
    <row r="12" customFormat="false" ht="15" hidden="false" customHeight="false" outlineLevel="0" collapsed="false">
      <c r="A12" s="56" t="s">
        <v>365</v>
      </c>
      <c r="B12" s="57" t="str">
        <f aca="false">IF(S12=0,"Below L1","Level "&amp;S12)</f>
        <v>Below L1</v>
      </c>
      <c r="C12" s="55" t="str">
        <f aca="false">COUNTIFS(Assessment!$H$5:$H$164,"Multi-Factor Authentication",Assessment!$I$5:$I$164,"&lt;="&amp;'Start Here'!$C$8,Assessment!$D$5:$D$164,"Met")&amp;" / "&amp;(COUNTIFS(Assessment!$H$5:$H$164,"Multi-Factor Authentication",Assessment!$I$5:$I$164,"&lt;="&amp;'Start Here'!$C$8)-COUNTIFS(Assessment!$H$5:$H$164,"Multi-Factor Authentication",Assessment!$I$5:$I$164,"&lt;="&amp;'Start Here'!$C$8,Assessment!$D$5:$D$164,"Not Applicable"))</f>
        <v>0 / 7</v>
      </c>
      <c r="D12" s="57" t="str">
        <f aca="false">IF(S12&gt;='Start Here'!$C$8,"Meets target",IF(S12='Start Here'!$C$8-1,"One level short","Below target"))</f>
        <v>One level short</v>
      </c>
      <c r="E12" s="60" t="s">
        <v>26</v>
      </c>
      <c r="G12" s="55" t="n">
        <f aca="false">COUNTIFS(Assessment!$I$5:$I$164,"&lt;="&amp;'Start Here'!$C$8,Assessment!$D$5:$D$164,"Not Met")</f>
        <v>0</v>
      </c>
      <c r="P12" s="0" t="n">
        <f aca="false">(COUNTIFS(Assessment!$H$5:$H$164,"Multi-Factor Authentication",Assessment!$I$5:$I$164,1)-COUNTIFS(Assessment!$H$5:$H$164,"Multi-Factor Authentication",Assessment!$I$5:$I$164,1,Assessment!$D$5:$D$164,"Met")-COUNTIFS(Assessment!$H$5:$H$164,"Multi-Factor Authentication",Assessment!$I$5:$I$164,1,Assessment!$D$5:$D$164,"Not Applicable"))</f>
        <v>7</v>
      </c>
      <c r="Q12" s="0" t="n">
        <f aca="false">P12+(COUNTIFS(Assessment!$H$5:$H$164,"Multi-Factor Authentication",Assessment!$I$5:$I$164,2)-COUNTIFS(Assessment!$H$5:$H$164,"Multi-Factor Authentication",Assessment!$I$5:$I$164,2,Assessment!$D$5:$D$164,"Met")-COUNTIFS(Assessment!$H$5:$H$164,"Multi-Factor Authentication",Assessment!$I$5:$I$164,2,Assessment!$D$5:$D$164,"Not Applicable"))</f>
        <v>19</v>
      </c>
      <c r="R12" s="0" t="n">
        <f aca="false">Q12+(COUNTIFS(Assessment!$H$5:$H$164,"Multi-Factor Authentication",Assessment!$I$5:$I$164,3)-COUNTIFS(Assessment!$H$5:$H$164,"Multi-Factor Authentication",Assessment!$I$5:$I$164,3,Assessment!$D$5:$D$164,"Met")-COUNTIFS(Assessment!$H$5:$H$164,"Multi-Factor Authentication",Assessment!$I$5:$I$164,3,Assessment!$D$5:$D$164,"Not Applicable"))</f>
        <v>24</v>
      </c>
      <c r="S12" s="0" t="n">
        <f aca="false">IF(P12&gt;0,0,IF(Q12&gt;0,1,IF(R12&gt;0,2,3)))</f>
        <v>0</v>
      </c>
      <c r="T12" s="0" t="s">
        <v>112</v>
      </c>
      <c r="U12" s="0" t="n">
        <f aca="false">S12</f>
        <v>0</v>
      </c>
    </row>
    <row r="13" customFormat="false" ht="15" hidden="false" customHeight="false" outlineLevel="0" collapsed="false">
      <c r="A13" s="56" t="s">
        <v>366</v>
      </c>
      <c r="B13" s="57" t="str">
        <f aca="false">IF(S13=0,"Below L1","Level "&amp;S13)</f>
        <v>Below L1</v>
      </c>
      <c r="C13" s="55" t="str">
        <f aca="false">COUNTIFS(Assessment!$H$5:$H$164,"Restrict Admin Privileges",Assessment!$I$5:$I$164,"&lt;="&amp;'Start Here'!$C$8,Assessment!$D$5:$D$164,"Met")&amp;" / "&amp;(COUNTIFS(Assessment!$H$5:$H$164,"Restrict Admin Privileges",Assessment!$I$5:$I$164,"&lt;="&amp;'Start Here'!$C$8)-COUNTIFS(Assessment!$H$5:$H$164,"Restrict Admin Privileges",Assessment!$I$5:$I$164,"&lt;="&amp;'Start Here'!$C$8,Assessment!$D$5:$D$164,"Not Applicable"))</f>
        <v>0 / 7</v>
      </c>
      <c r="D13" s="57" t="str">
        <f aca="false">IF(S13&gt;='Start Here'!$C$8,"Meets target",IF(S13='Start Here'!$C$8-1,"One level short","Below target"))</f>
        <v>One level short</v>
      </c>
      <c r="E13" s="61" t="s">
        <v>30</v>
      </c>
      <c r="G13" s="55" t="n">
        <f aca="false">COUNTIFS(Assessment!$I$5:$I$164,"&lt;="&amp;'Start Here'!$C$8,Assessment!$D$5:$D$164,"Not Assessed")</f>
        <v>48</v>
      </c>
      <c r="P13" s="0" t="n">
        <f aca="false">(COUNTIFS(Assessment!$H$5:$H$164,"Restrict Admin Privileges",Assessment!$I$5:$I$164,1)-COUNTIFS(Assessment!$H$5:$H$164,"Restrict Admin Privileges",Assessment!$I$5:$I$164,1,Assessment!$D$5:$D$164,"Met")-COUNTIFS(Assessment!$H$5:$H$164,"Restrict Admin Privileges",Assessment!$I$5:$I$164,1,Assessment!$D$5:$D$164,"Not Applicable"))</f>
        <v>7</v>
      </c>
      <c r="Q13" s="0" t="n">
        <f aca="false">P13+(COUNTIFS(Assessment!$H$5:$H$164,"Restrict Admin Privileges",Assessment!$I$5:$I$164,2)-COUNTIFS(Assessment!$H$5:$H$164,"Restrict Admin Privileges",Assessment!$I$5:$I$164,2,Assessment!$D$5:$D$164,"Met")-COUNTIFS(Assessment!$H$5:$H$164,"Restrict Admin Privileges",Assessment!$I$5:$I$164,2,Assessment!$D$5:$D$164,"Not Applicable"))</f>
        <v>20</v>
      </c>
      <c r="R13" s="0" t="n">
        <f aca="false">Q13+(COUNTIFS(Assessment!$H$5:$H$164,"Restrict Admin Privileges",Assessment!$I$5:$I$164,3)-COUNTIFS(Assessment!$H$5:$H$164,"Restrict Admin Privileges",Assessment!$I$5:$I$164,3,Assessment!$D$5:$D$164,"Met")-COUNTIFS(Assessment!$H$5:$H$164,"Restrict Admin Privileges",Assessment!$I$5:$I$164,3,Assessment!$D$5:$D$164,"Not Applicable"))</f>
        <v>29</v>
      </c>
      <c r="S13" s="0" t="n">
        <f aca="false">IF(P13&gt;0,0,IF(Q13&gt;0,1,IF(R13&gt;0,2,3)))</f>
        <v>0</v>
      </c>
      <c r="T13" s="0" t="s">
        <v>162</v>
      </c>
      <c r="U13" s="0" t="n">
        <f aca="false">S13</f>
        <v>0</v>
      </c>
    </row>
    <row r="14" customFormat="false" ht="15" hidden="false" customHeight="false" outlineLevel="0" collapsed="false">
      <c r="A14" s="56" t="s">
        <v>367</v>
      </c>
      <c r="B14" s="57" t="str">
        <f aca="false">IF(S14=0,"Below L1","Level "&amp;S14)</f>
        <v>Below L1</v>
      </c>
      <c r="C14" s="55" t="str">
        <f aca="false">COUNTIFS(Assessment!$H$5:$H$164,"Application Control",Assessment!$I$5:$I$164,"&lt;="&amp;'Start Here'!$C$8,Assessment!$D$5:$D$164,"Met")&amp;" / "&amp;(COUNTIFS(Assessment!$H$5:$H$164,"Application Control",Assessment!$I$5:$I$164,"&lt;="&amp;'Start Here'!$C$8)-COUNTIFS(Assessment!$H$5:$H$164,"Application Control",Assessment!$I$5:$I$164,"&lt;="&amp;'Start Here'!$C$8,Assessment!$D$5:$D$164,"Not Applicable"))</f>
        <v>0 / 3</v>
      </c>
      <c r="D14" s="57" t="str">
        <f aca="false">IF(S14&gt;='Start Here'!$C$8,"Meets target",IF(S14='Start Here'!$C$8-1,"One level short","Below target"))</f>
        <v>One level short</v>
      </c>
      <c r="E14" s="54" t="s">
        <v>368</v>
      </c>
      <c r="G14" s="62" t="str">
        <f aca="false">IF((COUNTIF(Assessment!$I$5:$I$164,"&lt;="&amp;'Start Here'!$C$8)-COUNTIFS(Assessment!$I$5:$I$164,"&lt;="&amp;'Start Here'!$C$8,Assessment!$D$5:$D$164,"Not Applicable"))=0,"n/a",TEXT(COUNTIFS(Assessment!$I$5:$I$164,"&lt;="&amp;'Start Here'!$C$8,Assessment!$D$5:$D$164,"Met")/(COUNTIF(Assessment!$I$5:$I$164,"&lt;="&amp;'Start Here'!$C$8)-COUNTIFS(Assessment!$I$5:$I$164,"&lt;="&amp;'Start Here'!$C$8,Assessment!$D$5:$D$164,"Not Applicable")),"0%"))</f>
        <v>0%</v>
      </c>
      <c r="P14" s="0" t="n">
        <f aca="false">(COUNTIFS(Assessment!$H$5:$H$164,"Application Control",Assessment!$I$5:$I$164,1)-COUNTIFS(Assessment!$H$5:$H$164,"Application Control",Assessment!$I$5:$I$164,1,Assessment!$D$5:$D$164,"Met")-COUNTIFS(Assessment!$H$5:$H$164,"Application Control",Assessment!$I$5:$I$164,1,Assessment!$D$5:$D$164,"Not Applicable"))</f>
        <v>3</v>
      </c>
      <c r="Q14" s="0" t="n">
        <f aca="false">P14+(COUNTIFS(Assessment!$H$5:$H$164,"Application Control",Assessment!$I$5:$I$164,2)-COUNTIFS(Assessment!$H$5:$H$164,"Application Control",Assessment!$I$5:$I$164,2,Assessment!$D$5:$D$164,"Met")-COUNTIFS(Assessment!$H$5:$H$164,"Application Control",Assessment!$I$5:$I$164,2,Assessment!$D$5:$D$164,"Not Applicable"))</f>
        <v>14</v>
      </c>
      <c r="R14" s="0" t="n">
        <f aca="false">Q14+(COUNTIFS(Assessment!$H$5:$H$164,"Application Control",Assessment!$I$5:$I$164,3)-COUNTIFS(Assessment!$H$5:$H$164,"Application Control",Assessment!$I$5:$I$164,3,Assessment!$D$5:$D$164,"Met")-COUNTIFS(Assessment!$H$5:$H$164,"Application Control",Assessment!$I$5:$I$164,3,Assessment!$D$5:$D$164,"Not Applicable"))</f>
        <v>19</v>
      </c>
      <c r="S14" s="0" t="n">
        <f aca="false">IF(P14&gt;0,0,IF(Q14&gt;0,1,IF(R14&gt;0,2,3)))</f>
        <v>0</v>
      </c>
      <c r="T14" s="0" t="s">
        <v>214</v>
      </c>
      <c r="U14" s="0" t="n">
        <f aca="false">S14</f>
        <v>0</v>
      </c>
    </row>
    <row r="15" customFormat="false" ht="15" hidden="false" customHeight="false" outlineLevel="0" collapsed="false">
      <c r="A15" s="56" t="s">
        <v>369</v>
      </c>
      <c r="B15" s="57" t="str">
        <f aca="false">IF(S15=0,"Below L1","Level "&amp;S15)</f>
        <v>Below L1</v>
      </c>
      <c r="C15" s="55" t="str">
        <f aca="false">COUNTIFS(Assessment!$H$5:$H$164,"Restrict Office Macros",Assessment!$I$5:$I$164,"&lt;="&amp;'Start Here'!$C$8,Assessment!$D$5:$D$164,"Met")&amp;" / "&amp;(COUNTIFS(Assessment!$H$5:$H$164,"Restrict Office Macros",Assessment!$I$5:$I$164,"&lt;="&amp;'Start Here'!$C$8)-COUNTIFS(Assessment!$H$5:$H$164,"Restrict Office Macros",Assessment!$I$5:$I$164,"&lt;="&amp;'Start Here'!$C$8,Assessment!$D$5:$D$164,"Not Applicable"))</f>
        <v>0 / 4</v>
      </c>
      <c r="D15" s="57" t="str">
        <f aca="false">IF(S15&gt;='Start Here'!$C$8,"Meets target",IF(S15='Start Here'!$C$8-1,"One level short","Below target"))</f>
        <v>One level short</v>
      </c>
      <c r="P15" s="0" t="n">
        <f aca="false">(COUNTIFS(Assessment!$H$5:$H$164,"Restrict Office Macros",Assessment!$I$5:$I$164,1)-COUNTIFS(Assessment!$H$5:$H$164,"Restrict Office Macros",Assessment!$I$5:$I$164,1,Assessment!$D$5:$D$164,"Met")-COUNTIFS(Assessment!$H$5:$H$164,"Restrict Office Macros",Assessment!$I$5:$I$164,1,Assessment!$D$5:$D$164,"Not Applicable"))</f>
        <v>4</v>
      </c>
      <c r="Q15" s="0" t="n">
        <f aca="false">P15+(COUNTIFS(Assessment!$H$5:$H$164,"Restrict Office Macros",Assessment!$I$5:$I$164,2)-COUNTIFS(Assessment!$H$5:$H$164,"Restrict Office Macros",Assessment!$I$5:$I$164,2,Assessment!$D$5:$D$164,"Met")-COUNTIFS(Assessment!$H$5:$H$164,"Restrict Office Macros",Assessment!$I$5:$I$164,2,Assessment!$D$5:$D$164,"Not Applicable"))</f>
        <v>5</v>
      </c>
      <c r="R15" s="0" t="n">
        <f aca="false">Q15+(COUNTIFS(Assessment!$H$5:$H$164,"Restrict Office Macros",Assessment!$I$5:$I$164,3)-COUNTIFS(Assessment!$H$5:$H$164,"Restrict Office Macros",Assessment!$I$5:$I$164,3,Assessment!$D$5:$D$164,"Met")-COUNTIFS(Assessment!$H$5:$H$164,"Restrict Office Macros",Assessment!$I$5:$I$164,3,Assessment!$D$5:$D$164,"Not Applicable"))</f>
        <v>11</v>
      </c>
      <c r="S15" s="0" t="n">
        <f aca="false">IF(P15&gt;0,0,IF(Q15&gt;0,1,IF(R15&gt;0,2,3)))</f>
        <v>0</v>
      </c>
      <c r="T15" s="0" t="s">
        <v>246</v>
      </c>
      <c r="U15" s="0" t="n">
        <f aca="false">S15</f>
        <v>0</v>
      </c>
    </row>
    <row r="16" customFormat="false" ht="15" hidden="false" customHeight="false" outlineLevel="0" collapsed="false">
      <c r="A16" s="56" t="s">
        <v>370</v>
      </c>
      <c r="B16" s="57" t="str">
        <f aca="false">IF(S16=0,"Below L1","Level "&amp;S16)</f>
        <v>Below L1</v>
      </c>
      <c r="C16" s="55" t="str">
        <f aca="false">COUNTIFS(Assessment!$H$5:$H$164,"User Application Hardening",Assessment!$I$5:$I$164,"&lt;="&amp;'Start Here'!$C$8,Assessment!$D$5:$D$164,"Met")&amp;" / "&amp;(COUNTIFS(Assessment!$H$5:$H$164,"User Application Hardening",Assessment!$I$5:$I$164,"&lt;="&amp;'Start Here'!$C$8)-COUNTIFS(Assessment!$H$5:$H$164,"User Application Hardening",Assessment!$I$5:$I$164,"&lt;="&amp;'Start Here'!$C$8,Assessment!$D$5:$D$164,"Not Applicable"))</f>
        <v>0 / 4</v>
      </c>
      <c r="D16" s="57" t="str">
        <f aca="false">IF(S16&gt;='Start Here'!$C$8,"Meets target",IF(S16='Start Here'!$C$8-1,"One level short","Below target"))</f>
        <v>One level short</v>
      </c>
      <c r="E16" s="16" t="s">
        <v>371</v>
      </c>
      <c r="P16" s="0" t="n">
        <f aca="false">(COUNTIFS(Assessment!$H$5:$H$164,"User Application Hardening",Assessment!$I$5:$I$164,1)-COUNTIFS(Assessment!$H$5:$H$164,"User Application Hardening",Assessment!$I$5:$I$164,1,Assessment!$D$5:$D$164,"Met")-COUNTIFS(Assessment!$H$5:$H$164,"User Application Hardening",Assessment!$I$5:$I$164,1,Assessment!$D$5:$D$164,"Not Applicable"))</f>
        <v>4</v>
      </c>
      <c r="Q16" s="0" t="n">
        <f aca="false">P16+(COUNTIFS(Assessment!$H$5:$H$164,"User Application Hardening",Assessment!$I$5:$I$164,2)-COUNTIFS(Assessment!$H$5:$H$164,"User Application Hardening",Assessment!$I$5:$I$164,2,Assessment!$D$5:$D$164,"Met")-COUNTIFS(Assessment!$H$5:$H$164,"User Application Hardening",Assessment!$I$5:$I$164,2,Assessment!$D$5:$D$164,"Not Applicable"))</f>
        <v>22</v>
      </c>
      <c r="R16" s="0" t="n">
        <f aca="false">Q16+(COUNTIFS(Assessment!$H$5:$H$164,"User Application Hardening",Assessment!$I$5:$I$164,3)-COUNTIFS(Assessment!$H$5:$H$164,"User Application Hardening",Assessment!$I$5:$I$164,3,Assessment!$D$5:$D$164,"Met")-COUNTIFS(Assessment!$H$5:$H$164,"User Application Hardening",Assessment!$I$5:$I$164,3,Assessment!$D$5:$D$164,"Not Applicable"))</f>
        <v>27</v>
      </c>
      <c r="S16" s="0" t="n">
        <f aca="false">IF(P16&gt;0,0,IF(Q16&gt;0,1,IF(R16&gt;0,2,3)))</f>
        <v>0</v>
      </c>
      <c r="T16" s="0" t="s">
        <v>270</v>
      </c>
      <c r="U16" s="0" t="n">
        <f aca="false">S16</f>
        <v>0</v>
      </c>
    </row>
    <row r="17" customFormat="false" ht="15" hidden="false" customHeight="false" outlineLevel="0" collapsed="false">
      <c r="A17" s="56" t="s">
        <v>372</v>
      </c>
      <c r="B17" s="57" t="str">
        <f aca="false">IF(S17=0,"Below L1","Level "&amp;S17)</f>
        <v>Below L1</v>
      </c>
      <c r="C17" s="55" t="str">
        <f aca="false">COUNTIFS(Assessment!$H$5:$H$164,"Regular Backups",Assessment!$I$5:$I$164,"&lt;="&amp;'Start Here'!$C$8,Assessment!$D$5:$D$164,"Met")&amp;" / "&amp;(COUNTIFS(Assessment!$H$5:$H$164,"Regular Backups",Assessment!$I$5:$I$164,"&lt;="&amp;'Start Here'!$C$8)-COUNTIFS(Assessment!$H$5:$H$164,"Regular Backups",Assessment!$I$5:$I$164,"&lt;="&amp;'Start Here'!$C$8,Assessment!$D$5:$D$164,"Not Applicable"))</f>
        <v>0 / 6</v>
      </c>
      <c r="D17" s="57" t="str">
        <f aca="false">IF(S17&gt;='Start Here'!$C$8,"Meets target",IF(S17='Start Here'!$C$8-1,"One level short","Below target"))</f>
        <v>One level short</v>
      </c>
      <c r="E17" s="63" t="s">
        <v>373</v>
      </c>
      <c r="G17" s="55" t="n">
        <f aca="false">COUNT('Action Plan'!$P$5:$P$156)</f>
        <v>0</v>
      </c>
      <c r="P17" s="0" t="n">
        <f aca="false">(COUNTIFS(Assessment!$H$5:$H$164,"Regular Backups",Assessment!$I$5:$I$164,1)-COUNTIFS(Assessment!$H$5:$H$164,"Regular Backups",Assessment!$I$5:$I$164,1,Assessment!$D$5:$D$164,"Met")-COUNTIFS(Assessment!$H$5:$H$164,"Regular Backups",Assessment!$I$5:$I$164,1,Assessment!$D$5:$D$164,"Not Applicable"))</f>
        <v>6</v>
      </c>
      <c r="Q17" s="0" t="n">
        <f aca="false">P17+(COUNTIFS(Assessment!$H$5:$H$164,"Regular Backups",Assessment!$I$5:$I$164,2)-COUNTIFS(Assessment!$H$5:$H$164,"Regular Backups",Assessment!$I$5:$I$164,2,Assessment!$D$5:$D$164,"Met")-COUNTIFS(Assessment!$H$5:$H$164,"Regular Backups",Assessment!$I$5:$I$164,2,Assessment!$D$5:$D$164,"Not Applicable"))</f>
        <v>8</v>
      </c>
      <c r="R17" s="0" t="n">
        <f aca="false">Q17+(COUNTIFS(Assessment!$H$5:$H$164,"Regular Backups",Assessment!$I$5:$I$164,3)-COUNTIFS(Assessment!$H$5:$H$164,"Regular Backups",Assessment!$I$5:$I$164,3,Assessment!$D$5:$D$164,"Met")-COUNTIFS(Assessment!$H$5:$H$164,"Regular Backups",Assessment!$I$5:$I$164,3,Assessment!$D$5:$D$164,"Not Applicable"))</f>
        <v>11</v>
      </c>
      <c r="S17" s="0" t="n">
        <f aca="false">IF(P17&gt;0,0,IF(Q17&gt;0,1,IF(R17&gt;0,2,3)))</f>
        <v>0</v>
      </c>
      <c r="T17" s="0" t="s">
        <v>318</v>
      </c>
      <c r="U17" s="0" t="n">
        <f aca="false">S17</f>
        <v>0</v>
      </c>
    </row>
    <row r="18" customFormat="false" ht="15" hidden="false" customHeight="false" outlineLevel="0" collapsed="false">
      <c r="E18" s="63" t="s">
        <v>374</v>
      </c>
      <c r="G18" s="55" t="n">
        <f aca="false">COUNTIF('Action Plan'!$K$5:$K$156,"Complete")</f>
        <v>0</v>
      </c>
    </row>
    <row r="19" customFormat="false" ht="15" hidden="false" customHeight="false" outlineLevel="0" collapsed="false">
      <c r="E19" s="63" t="s">
        <v>375</v>
      </c>
      <c r="G19" s="55" t="n">
        <f aca="false">COUNTIFS('Action Plan'!$G$5:$G$156,"Critical",'Action Plan'!$K$5:$K$156,"&lt;&gt;Complete")</f>
        <v>0</v>
      </c>
    </row>
    <row r="20" customFormat="false" ht="15" hidden="false" customHeight="false" outlineLevel="0" collapsed="false">
      <c r="E20" s="54" t="s">
        <v>376</v>
      </c>
      <c r="G20" s="62" t="str">
        <f aca="false">IF(COUNT('Action Plan'!$P$5:$P$156)=0,"-",TEXT(COUNTIF('Action Plan'!$K$5:$K$156,"Complete")/COUNT('Action Plan'!$P$5:$P$156),"0%"))</f>
        <v>-</v>
      </c>
    </row>
    <row r="40" customFormat="false" ht="18" hidden="false" customHeight="true" outlineLevel="0" collapsed="false">
      <c r="A40" s="1"/>
      <c r="B40" s="1"/>
      <c r="C40" s="1"/>
      <c r="D40" s="64"/>
      <c r="E40" s="64"/>
      <c r="F40" s="64"/>
      <c r="G40" s="64"/>
      <c r="H40" s="64"/>
    </row>
    <row r="41" customFormat="false" ht="18" hidden="false" customHeight="true" outlineLevel="0" collapsed="false">
      <c r="A41" s="1"/>
      <c r="B41" s="1"/>
      <c r="C41" s="1"/>
      <c r="D41" s="64"/>
      <c r="E41" s="64"/>
      <c r="F41" s="64"/>
      <c r="G41" s="64"/>
      <c r="H41" s="64"/>
    </row>
    <row r="42" customFormat="false" ht="18" hidden="false" customHeight="true" outlineLevel="0" collapsed="false">
      <c r="A42" s="1"/>
      <c r="B42" s="1"/>
      <c r="C42" s="1"/>
      <c r="D42" s="64"/>
      <c r="E42" s="64"/>
      <c r="F42" s="64"/>
      <c r="G42" s="64"/>
      <c r="H42" s="64"/>
    </row>
  </sheetData>
  <sheetProtection sheet="true" password="DEF8" formatColumns="false" formatRows="false" sort="false" autoFilter="false"/>
  <mergeCells count="5">
    <mergeCell ref="A1:E2"/>
    <mergeCell ref="G1:H2"/>
    <mergeCell ref="A4:H4"/>
    <mergeCell ref="A6:H6"/>
    <mergeCell ref="D40:H42"/>
  </mergeCells>
  <conditionalFormatting sqref="D10:D17">
    <cfRule type="cellIs" priority="2" operator="equal" aboveAverage="0" equalAverage="0" bottom="0" percent="0" rank="0" text="" dxfId="1">
      <formula>"Meets target"</formula>
    </cfRule>
    <cfRule type="cellIs" priority="3" operator="equal" aboveAverage="0" equalAverage="0" bottom="0" percent="0" rank="0" text="" dxfId="2">
      <formula>"One level short"</formula>
    </cfRule>
    <cfRule type="cellIs" priority="4" operator="equal" aboveAverage="0" equalAverage="0" bottom="0" percent="0" rank="0" text="" dxfId="3">
      <formula>"Below target"</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2026-06-19T15:55:40Z</dcterms:created>
  <dc:creator>openpyxl</dc:creator>
  <dc:description/>
  <dc:language>en-US</dc:language>
  <cp:lastModifiedBy/>
  <dcterms:modified xsi:type="dcterms:W3CDTF">2026-06-19T15:55:42Z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